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evantac5\Downloads\"/>
    </mc:Choice>
  </mc:AlternateContent>
  <xr:revisionPtr revIDLastSave="0" documentId="8_{8C74FD8B-D3A7-4C03-B89E-E0BEBA25D056}" xr6:coauthVersionLast="47" xr6:coauthVersionMax="47" xr10:uidLastSave="{00000000-0000-0000-0000-000000000000}"/>
  <bookViews>
    <workbookView xWindow="25185" yWindow="4545" windowWidth="28800" windowHeight="15435" xr2:uid="{16E3BF75-0708-4FC8-9572-40367D455A6B}"/>
  </bookViews>
  <sheets>
    <sheet name="Aloitus" sheetId="1" r:id="rId1"/>
    <sheet name="Tonttikatu" sheetId="3" r:id="rId2"/>
    <sheet name="Kokoojakatu" sheetId="4" r:id="rId3"/>
    <sheet name="Laskenta"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4" l="1"/>
  <c r="C50" i="2"/>
  <c r="D50" i="2" s="1"/>
  <c r="E50" i="2" s="1"/>
  <c r="B50" i="2"/>
  <c r="D34" i="3"/>
  <c r="C19" i="2"/>
  <c r="B19" i="2"/>
  <c r="B3" i="2"/>
  <c r="I50" i="2" l="1"/>
  <c r="H50" i="2"/>
  <c r="G50" i="2"/>
  <c r="F50" i="2"/>
  <c r="I19" i="2"/>
  <c r="D19" i="2"/>
  <c r="E19" i="2" s="1"/>
  <c r="G19" i="2" s="1"/>
  <c r="J50" i="2" l="1"/>
  <c r="E44" i="4" s="1"/>
  <c r="H19" i="2"/>
  <c r="F19" i="2"/>
  <c r="D39" i="2" l="1"/>
  <c r="E39" i="2"/>
  <c r="F39" i="2" s="1"/>
  <c r="D25" i="2"/>
  <c r="D24" i="2"/>
  <c r="C27" i="2"/>
  <c r="C26" i="2"/>
  <c r="D26" i="2" s="1"/>
  <c r="C25" i="2"/>
  <c r="C24" i="2"/>
  <c r="D27" i="2" l="1"/>
  <c r="C41" i="2"/>
  <c r="C40" i="2"/>
  <c r="E36" i="2"/>
  <c r="F36" i="2" s="1"/>
  <c r="E33" i="2"/>
  <c r="D33" i="2"/>
  <c r="E35" i="2"/>
  <c r="F35" i="2" s="1"/>
  <c r="D35" i="2"/>
  <c r="C33" i="2"/>
  <c r="G30" i="2"/>
  <c r="F30" i="2"/>
  <c r="E30" i="2"/>
  <c r="D30" i="2"/>
  <c r="C30" i="2"/>
  <c r="F33" i="2" l="1"/>
  <c r="C44" i="2" s="1"/>
  <c r="H30" i="2"/>
  <c r="C43" i="2" s="1"/>
  <c r="C13" i="2"/>
  <c r="E11" i="2"/>
  <c r="D11" i="2"/>
  <c r="C11" i="2"/>
  <c r="B4" i="2"/>
  <c r="C4" i="2" s="1"/>
  <c r="E25" i="2" l="1"/>
  <c r="F21" i="4" s="1"/>
  <c r="G21" i="4" s="1"/>
  <c r="E26" i="2"/>
  <c r="F22" i="4" s="1"/>
  <c r="G22" i="4" s="1"/>
  <c r="E27" i="2"/>
  <c r="F23" i="4" s="1"/>
  <c r="G23" i="4" s="1"/>
  <c r="E24" i="2"/>
  <c r="F20" i="4" s="1"/>
  <c r="G20" i="4" s="1"/>
  <c r="E41" i="2"/>
  <c r="F41" i="2" s="1"/>
  <c r="C46" i="2" s="1"/>
  <c r="E34" i="2"/>
  <c r="F34" i="2" s="1"/>
  <c r="F37" i="2"/>
  <c r="E40" i="2"/>
  <c r="F40" i="2" s="1"/>
  <c r="F38" i="2"/>
  <c r="C16" i="2"/>
  <c r="B7" i="2"/>
  <c r="F15" i="3" s="1"/>
  <c r="G15" i="3" s="1"/>
  <c r="C14" i="2"/>
  <c r="B8" i="2"/>
  <c r="F16" i="3" s="1"/>
  <c r="G16" i="3" s="1"/>
  <c r="C15" i="2"/>
  <c r="F11" i="2"/>
  <c r="C45" i="2" l="1"/>
  <c r="C47" i="2" s="1"/>
  <c r="F34" i="4" s="1"/>
  <c r="F33" i="4"/>
  <c r="F23" i="3"/>
  <c r="F24" i="3"/>
  <c r="F40" i="4" l="1"/>
  <c r="F41" i="4" s="1"/>
  <c r="G23" i="3"/>
  <c r="F30" i="3"/>
  <c r="F31" i="3" s="1"/>
  <c r="G33" i="4"/>
  <c r="K50" i="2" l="1"/>
  <c r="K19" i="2"/>
  <c r="J19" i="2" s="1"/>
  <c r="E34" i="3" s="1"/>
  <c r="F34" i="3" s="1"/>
  <c r="F44" i="4"/>
</calcChain>
</file>

<file path=xl/sharedStrings.xml><?xml version="1.0" encoding="utf-8"?>
<sst xmlns="http://schemas.openxmlformats.org/spreadsheetml/2006/main" count="162" uniqueCount="122">
  <si>
    <t>LUMITILOJEN MÄÄRITYS KATUALUEELLE</t>
  </si>
  <si>
    <t>TONTTIKATU</t>
  </si>
  <si>
    <t>KOKOOJAKATU</t>
  </si>
  <si>
    <t>Tonttiliittymien määrä (kpl)</t>
  </si>
  <si>
    <t>Tonttikadun pituus (m)</t>
  </si>
  <si>
    <t>TONTTIKADUN LASKENNAT</t>
  </si>
  <si>
    <t>POIKKILEIKKAUSTARKASTELU</t>
  </si>
  <si>
    <t>Lumitila oikea</t>
  </si>
  <si>
    <t>Lumitila vasen</t>
  </si>
  <si>
    <t>Lumen syvyys</t>
  </si>
  <si>
    <t>Tiivistymisaste</t>
  </si>
  <si>
    <r>
      <t xml:space="preserve">L </t>
    </r>
    <r>
      <rPr>
        <b/>
        <sz val="8"/>
        <color theme="1"/>
        <rFont val="Calibri"/>
        <family val="2"/>
        <scheme val="minor"/>
      </rPr>
      <t>lumitila</t>
    </r>
  </si>
  <si>
    <t>Tonttiliittymän keskimääräinen leveys (m)</t>
  </si>
  <si>
    <t>TARVITTAVA LUMITILA VASEMMALLA (m)</t>
  </si>
  <si>
    <t>TARVITTAVA LUMITILA OIKEALLA (m)</t>
  </si>
  <si>
    <t>KOKO TONTTIKADUN TARKASTELU</t>
  </si>
  <si>
    <t>PL</t>
  </si>
  <si>
    <t>KOKO KATU</t>
  </si>
  <si>
    <t>Teoreettinen lumitila</t>
  </si>
  <si>
    <t>Oikea lumitila</t>
  </si>
  <si>
    <t>Vasen lumitila</t>
  </si>
  <si>
    <t>Pituus</t>
  </si>
  <si>
    <t>V lumitila</t>
  </si>
  <si>
    <t>Tonttiliittymien vähennys</t>
  </si>
  <si>
    <t>Tonttiliittymiin satava lumi</t>
  </si>
  <si>
    <t>KOKO KADUN LUMITILOJEN TILAVUUS</t>
  </si>
  <si>
    <t>AURATTAVAN LUMEN MÄÄRÄ</t>
  </si>
  <si>
    <t>Katualueelle satava lumi</t>
  </si>
  <si>
    <t>Lumitilaan satava lumi</t>
  </si>
  <si>
    <t>Tontiikadulla ei ole lähtökohtaisesti jk+pp -väyliä. Ajoradan molemmilla puolilla on viherkaistat. Tonttikaduilla on  tonttiliittymiä, jotka vähentävät lumitilaa. Lisäksi tonteilta läjitetään lunta tyypillisesti katuviheralueille. Näkemäalueilla maksimikorkeus lumikasalle on 0,8 m ja viiden metrin etäisyydellä suojateistä 0,5 m. Laskennassa tarkastellaan poikkileikkauksen lisäksi koko tonttikadun pituutta lumitilojen riittävyyden selvittämiseksi.</t>
  </si>
  <si>
    <t>Syvyys</t>
  </si>
  <si>
    <t>Leveys</t>
  </si>
  <si>
    <t>ALKUUN</t>
  </si>
  <si>
    <t>1. Ajoradan leveys (m)</t>
  </si>
  <si>
    <t>2. Viherkaistan leveys oikealla (m)</t>
  </si>
  <si>
    <t>3. Viherkaistan leveys vasemmalla (m)</t>
  </si>
  <si>
    <t>4. Viherkaistan painanteen syvyys oikealla (m)</t>
  </si>
  <si>
    <t>5. Viherkaistan painanteen syvyys vasemmalla (m)</t>
  </si>
  <si>
    <t>6. Sallittu lumikasan korkeus (m)</t>
  </si>
  <si>
    <r>
      <t xml:space="preserve">H </t>
    </r>
    <r>
      <rPr>
        <sz val="6"/>
        <color theme="1"/>
        <rFont val="Calibri"/>
        <family val="2"/>
        <scheme val="minor"/>
      </rPr>
      <t>painanne</t>
    </r>
    <r>
      <rPr>
        <sz val="10"/>
        <color theme="1"/>
        <rFont val="Calibri"/>
        <family val="2"/>
        <scheme val="minor"/>
      </rPr>
      <t xml:space="preserve"> + H - 0,30m</t>
    </r>
  </si>
  <si>
    <r>
      <t xml:space="preserve">L </t>
    </r>
    <r>
      <rPr>
        <sz val="6"/>
        <color theme="1"/>
        <rFont val="Calibri"/>
        <family val="2"/>
        <scheme val="minor"/>
      </rPr>
      <t>lumitila</t>
    </r>
    <r>
      <rPr>
        <sz val="10"/>
        <color theme="1"/>
        <rFont val="Calibri"/>
        <family val="2"/>
        <scheme val="minor"/>
      </rPr>
      <t xml:space="preserve"> =</t>
    </r>
  </si>
  <si>
    <r>
      <t xml:space="preserve">(0,30m x L </t>
    </r>
    <r>
      <rPr>
        <sz val="6"/>
        <color theme="1"/>
        <rFont val="Calibri"/>
        <family val="2"/>
        <scheme val="minor"/>
      </rPr>
      <t>kaista</t>
    </r>
    <r>
      <rPr>
        <sz val="10"/>
        <color theme="1"/>
        <rFont val="Calibri"/>
        <family val="2"/>
        <scheme val="minor"/>
      </rPr>
      <t>)</t>
    </r>
  </si>
  <si>
    <r>
      <t xml:space="preserve">A </t>
    </r>
    <r>
      <rPr>
        <sz val="6"/>
        <color theme="1"/>
        <rFont val="Calibri"/>
        <family val="2"/>
        <scheme val="minor"/>
      </rPr>
      <t>lumitila</t>
    </r>
    <r>
      <rPr>
        <sz val="11"/>
        <color theme="1"/>
        <rFont val="Calibri"/>
        <family val="2"/>
        <scheme val="minor"/>
      </rPr>
      <t xml:space="preserve"> = A </t>
    </r>
    <r>
      <rPr>
        <sz val="6"/>
        <color theme="1"/>
        <rFont val="Calibri"/>
        <family val="2"/>
        <scheme val="minor"/>
      </rPr>
      <t>kaistalle satanut lumi</t>
    </r>
    <r>
      <rPr>
        <sz val="11"/>
        <color theme="1"/>
        <rFont val="Calibri"/>
        <family val="2"/>
        <scheme val="minor"/>
      </rPr>
      <t xml:space="preserve"> + A</t>
    </r>
    <r>
      <rPr>
        <sz val="6"/>
        <color theme="1"/>
        <rFont val="Calibri"/>
        <family val="2"/>
        <scheme val="minor"/>
      </rPr>
      <t xml:space="preserve"> lumitilaan satanut lumi</t>
    </r>
  </si>
  <si>
    <r>
      <t xml:space="preserve">L </t>
    </r>
    <r>
      <rPr>
        <sz val="6"/>
        <color theme="1"/>
        <rFont val="Calibri"/>
        <family val="2"/>
        <scheme val="minor"/>
      </rPr>
      <t>lumitila</t>
    </r>
    <r>
      <rPr>
        <sz val="11"/>
        <color theme="1"/>
        <rFont val="Calibri"/>
        <family val="2"/>
        <scheme val="minor"/>
      </rPr>
      <t xml:space="preserve"> x H </t>
    </r>
    <r>
      <rPr>
        <sz val="6"/>
        <color theme="1"/>
        <rFont val="Calibri"/>
        <family val="2"/>
        <scheme val="minor"/>
      </rPr>
      <t>painanne</t>
    </r>
  </si>
  <si>
    <t>+</t>
  </si>
  <si>
    <r>
      <t xml:space="preserve">L </t>
    </r>
    <r>
      <rPr>
        <sz val="6"/>
        <color theme="1"/>
        <rFont val="Calibri"/>
        <family val="2"/>
        <scheme val="minor"/>
      </rPr>
      <t>lumitila</t>
    </r>
    <r>
      <rPr>
        <sz val="11"/>
        <color theme="1"/>
        <rFont val="Calibri"/>
        <family val="2"/>
        <scheme val="minor"/>
      </rPr>
      <t xml:space="preserve"> x H</t>
    </r>
  </si>
  <si>
    <t>=</t>
  </si>
  <si>
    <r>
      <t xml:space="preserve">0,15m x L </t>
    </r>
    <r>
      <rPr>
        <sz val="6"/>
        <color theme="1"/>
        <rFont val="Calibri"/>
        <family val="2"/>
        <scheme val="minor"/>
      </rPr>
      <t>kaista</t>
    </r>
    <r>
      <rPr>
        <sz val="10"/>
        <color theme="1"/>
        <rFont val="Calibri"/>
        <family val="2"/>
        <scheme val="minor"/>
      </rPr>
      <t xml:space="preserve"> + 0,15m x L </t>
    </r>
    <r>
      <rPr>
        <sz val="6"/>
        <color theme="1"/>
        <rFont val="Calibri"/>
        <family val="2"/>
        <scheme val="minor"/>
      </rPr>
      <t>lumitila</t>
    </r>
  </si>
  <si>
    <t>POIKKILEIKKAUS</t>
  </si>
  <si>
    <t>Lumitila ajorata, vasen</t>
  </si>
  <si>
    <t>Lumitila ajorata, oikea</t>
  </si>
  <si>
    <t>Lumitila jk+pp, vasen</t>
  </si>
  <si>
    <t>Lumitila jk+pp, oikea</t>
  </si>
  <si>
    <t>TARVITTAVA LUMITILA, AJORATA OIKEA (m)</t>
  </si>
  <si>
    <t>TARVITTAVA LUMITILA AJORATA, VASEN (m)</t>
  </si>
  <si>
    <t>TARVITTAVA LUMITILA JK+PP, VASEN (m)</t>
  </si>
  <si>
    <t>TARVITTAVA LUMITILA JK+PP, OIKEA (m)</t>
  </si>
  <si>
    <t>6. jk+pp- väylän leveys oikealla (m)</t>
  </si>
  <si>
    <t>7. jk+pp- väylän leveys vasemmalla (m)</t>
  </si>
  <si>
    <t>8. Reunaviheralueen leveys oikealla (m)</t>
  </si>
  <si>
    <t>9. Reunaviheralueen leveys vasemmalla (m)</t>
  </si>
  <si>
    <t>10. Sallittu lumikasan korkeus, välikaista (m)</t>
  </si>
  <si>
    <t>11. Sallittu lumikasan korkeus, reuna-alue (m)</t>
  </si>
  <si>
    <t>KOKO KOKOOJAKADUN TARKASTELU</t>
  </si>
  <si>
    <t>Katuliittymien määrä (kpl)</t>
  </si>
  <si>
    <t>Bussipysäkkien määrä (kpl)</t>
  </si>
  <si>
    <t>Oikea välikaista</t>
  </si>
  <si>
    <t>Vasen välikaista</t>
  </si>
  <si>
    <t>Oikea reuna</t>
  </si>
  <si>
    <t>Vasen reuna</t>
  </si>
  <si>
    <r>
      <t xml:space="preserve">V </t>
    </r>
    <r>
      <rPr>
        <sz val="6"/>
        <color theme="1"/>
        <rFont val="Calibri"/>
        <family val="2"/>
        <scheme val="minor"/>
      </rPr>
      <t>teoreettinen</t>
    </r>
  </si>
  <si>
    <t>Kokoojakadun pituus (m)</t>
  </si>
  <si>
    <t>Liittymäalueiden vähennys</t>
  </si>
  <si>
    <t>Liittymäalueille satava lumi</t>
  </si>
  <si>
    <t>Bussipysäkkien vähennys</t>
  </si>
  <si>
    <t>Bussipysäkkille satava lumi</t>
  </si>
  <si>
    <r>
      <t xml:space="preserve">L </t>
    </r>
    <r>
      <rPr>
        <sz val="6"/>
        <color theme="1"/>
        <rFont val="Calibri"/>
        <family val="2"/>
        <scheme val="minor"/>
      </rPr>
      <t>menetetty lumitila</t>
    </r>
  </si>
  <si>
    <r>
      <t xml:space="preserve">PA </t>
    </r>
    <r>
      <rPr>
        <sz val="6"/>
        <color theme="1"/>
        <rFont val="Calibri"/>
        <family val="2"/>
        <scheme val="minor"/>
      </rPr>
      <t>menetetty lumitila</t>
    </r>
  </si>
  <si>
    <r>
      <t xml:space="preserve">V </t>
    </r>
    <r>
      <rPr>
        <sz val="6"/>
        <color theme="1"/>
        <rFont val="Calibri"/>
        <family val="2"/>
        <scheme val="minor"/>
      </rPr>
      <t>vähennys</t>
    </r>
  </si>
  <si>
    <t>Liittyvien katujen keskimääräinen leveys (m)</t>
  </si>
  <si>
    <t>Kokoojakadun ylittävien suojateiden määrä (kpl)</t>
  </si>
  <si>
    <t>Suojateiden vähennys</t>
  </si>
  <si>
    <t>Bussikaistalle satava lumi</t>
  </si>
  <si>
    <t>Lumitila, teoreettinen</t>
  </si>
  <si>
    <t>Lumitilan vähentymät</t>
  </si>
  <si>
    <t>Lisäaurattavan lumen määrä</t>
  </si>
  <si>
    <t>Lumitilatilavuus, yhteensä</t>
  </si>
  <si>
    <t>Aurattava lumen määrä yht.</t>
  </si>
  <si>
    <t>Kokoojakaduilla on tyypillisesti erilliset jk+pp -väylät viherkaistalla ajoradasta erotettuna. Joillakin kokoojakaduilla voi olla ajoratojen välissä välikaista, joka ei kuitenkaa toimi lumitilana, koska lumet aurataan auran kulkusuuntaan nähden oikealle puolelle. Kokoojakaduilla tonttikatujen risteykset ja bussipysäkit vähentävät lumitilojen kapasiteettiä. Ongelmallisimimpia poikkileikkauksia lumitilojen osalta ovat sellaiset kokoojakadun poikkileikkaukset, joissa ajoradan ja jk+pp -väylän välissä ei ole viherkaistaa. Katupuiden vaikutus lumitilaan on vähäinen, eikä niitä huomioida laskelmassa.</t>
  </si>
  <si>
    <r>
      <t xml:space="preserve">L </t>
    </r>
    <r>
      <rPr>
        <sz val="6"/>
        <color theme="1"/>
        <rFont val="Calibri"/>
        <family val="2"/>
        <scheme val="minor"/>
      </rPr>
      <t>aurattava</t>
    </r>
  </si>
  <si>
    <r>
      <t xml:space="preserve">L </t>
    </r>
    <r>
      <rPr>
        <sz val="6"/>
        <color theme="1"/>
        <rFont val="Calibri"/>
        <family val="2"/>
        <scheme val="minor"/>
      </rPr>
      <t>lumitila</t>
    </r>
    <r>
      <rPr>
        <b/>
        <sz val="11"/>
        <color theme="1"/>
        <rFont val="Calibri"/>
        <family val="2"/>
        <scheme val="minor"/>
      </rPr>
      <t xml:space="preserve"> </t>
    </r>
    <r>
      <rPr>
        <sz val="6"/>
        <color theme="1"/>
        <rFont val="Calibri"/>
        <family val="2"/>
        <scheme val="minor"/>
      </rPr>
      <t>annettu</t>
    </r>
  </si>
  <si>
    <r>
      <t xml:space="preserve">L </t>
    </r>
    <r>
      <rPr>
        <sz val="6"/>
        <color theme="1"/>
        <rFont val="Calibri"/>
        <family val="2"/>
        <scheme val="minor"/>
      </rPr>
      <t>min</t>
    </r>
  </si>
  <si>
    <t>Pensasryhmien vähennys</t>
  </si>
  <si>
    <t>Viherkaistoilla olevien pensasryhmien pituus yht. (m)</t>
  </si>
  <si>
    <t xml:space="preserve"> (Huom! pensasryhmien päälle ei saa aurata lunta)</t>
  </si>
  <si>
    <t xml:space="preserve">Katualueiden tulisi olla omavaraisia lumitilojen suhteen. Lumien pois kuljettaminen on kallista sekä vastoin kaupungin kestävän kehityksen ja hiilineutraaliuden tavoitteita. Jo kaavoitusvaiheessa tulee jättää tonttikaduille aurausreitteihin nähden helppoihin paikkoihin (esimerkiksi päädyt) lumitilaa lähisiirtoja varten. Kokoojakaduilla lumien lähisiirtoihin on syytä varata tilaa esimerkiksi jk+pp -väylien kulmauksiin tai aukioille. Tämän tiedoston laskentataulukolla voit tarkistaa katualueen lumitilojen riittävyyden. </t>
  </si>
  <si>
    <t>KOKOOJAKADUN LASKENNAT</t>
  </si>
  <si>
    <t>Sytö mitoittava lumimäärä (m) ja valitse, minkä tyyppistä katua mitoitetaan:</t>
  </si>
  <si>
    <t>Syötä keltaiseen laatikkoon mitoituksessa käytettävä lumen syvyys metreinä (katso: https://www.ilmatieteenlaitos.fi/lumitilastot )</t>
  </si>
  <si>
    <t>LUMEN MITOITUSSYVYYS (m)</t>
  </si>
  <si>
    <t>V 2.0 (29.11.2021)</t>
  </si>
  <si>
    <t>SYÖTÄ PL-ARVOT KELTAISIIN SOLUIHIN</t>
  </si>
  <si>
    <t>Lähisiirrettävä lumi (m3)</t>
  </si>
  <si>
    <t>TARVITTAVAN LÄHISIIRTOALUEEN TILAVUUS</t>
  </si>
  <si>
    <t>LÄHISIIRTOALUE</t>
  </si>
  <si>
    <t xml:space="preserve">Katualueella lähisiirtoalueen tulisi sijaita </t>
  </si>
  <si>
    <t>max. 250 m päässä</t>
  </si>
  <si>
    <t>Leveys (m)</t>
  </si>
  <si>
    <t>Syvyys (m)</t>
  </si>
  <si>
    <t>Pinta-ala (m2)</t>
  </si>
  <si>
    <t>Tilavuus (m3)</t>
  </si>
  <si>
    <t>h</t>
  </si>
  <si>
    <t>h2</t>
  </si>
  <si>
    <r>
      <t xml:space="preserve">V </t>
    </r>
    <r>
      <rPr>
        <b/>
        <sz val="8"/>
        <color theme="1"/>
        <rFont val="Calibri"/>
        <family val="2"/>
        <scheme val="minor"/>
      </rPr>
      <t>pyramidi</t>
    </r>
  </si>
  <si>
    <r>
      <t xml:space="preserve">V </t>
    </r>
    <r>
      <rPr>
        <b/>
        <sz val="8"/>
        <color theme="1"/>
        <rFont val="Calibri"/>
        <family val="2"/>
        <scheme val="minor"/>
      </rPr>
      <t>särmiö</t>
    </r>
  </si>
  <si>
    <r>
      <t xml:space="preserve">V </t>
    </r>
    <r>
      <rPr>
        <b/>
        <sz val="8"/>
        <color theme="1"/>
        <rFont val="Calibri"/>
        <family val="2"/>
        <scheme val="minor"/>
      </rPr>
      <t>boxi</t>
    </r>
  </si>
  <si>
    <r>
      <t xml:space="preserve">V </t>
    </r>
    <r>
      <rPr>
        <b/>
        <sz val="8"/>
        <color theme="1"/>
        <rFont val="Calibri"/>
        <family val="2"/>
        <scheme val="minor"/>
      </rPr>
      <t>lumitila</t>
    </r>
  </si>
  <si>
    <r>
      <t>V</t>
    </r>
    <r>
      <rPr>
        <b/>
        <sz val="8"/>
        <color theme="1"/>
        <rFont val="Calibri"/>
        <family val="2"/>
        <scheme val="minor"/>
      </rPr>
      <t xml:space="preserve"> total</t>
    </r>
  </si>
  <si>
    <t>LÄHISIIRTOALUEEN MITOITUS</t>
  </si>
  <si>
    <t>Lähiläjitysalue, v2.0</t>
  </si>
  <si>
    <t>ON/EI</t>
  </si>
  <si>
    <t>Syötä keltaisiin soluihin lähisiirtoalueen mitat (m), jos lähisiirtoalue tarvitaan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</si>
</sst>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8"/>
      <color theme="3"/>
      <name val="Calibri Light"/>
      <family val="2"/>
      <scheme val="major"/>
    </font>
    <font>
      <sz val="11"/>
      <color rgb="FFFF0000"/>
      <name val="Calibri"/>
      <family val="2"/>
      <scheme val="minor"/>
    </font>
    <font>
      <b/>
      <sz val="20"/>
      <color theme="3"/>
      <name val="Calibri"/>
      <family val="2"/>
      <scheme val="minor"/>
    </font>
    <font>
      <i/>
      <sz val="10"/>
      <color rgb="FF000000"/>
      <name val="Calibri"/>
      <family val="2"/>
      <scheme val="minor"/>
    </font>
    <font>
      <i/>
      <sz val="11"/>
      <color theme="1"/>
      <name val="Calibri"/>
      <family val="2"/>
      <scheme val="minor"/>
    </font>
    <font>
      <i/>
      <sz val="9"/>
      <color rgb="FFFF0000"/>
      <name val="Calibri"/>
      <family val="2"/>
      <scheme val="minor"/>
    </font>
    <font>
      <i/>
      <sz val="10"/>
      <color theme="1"/>
      <name val="Calibri"/>
      <family val="2"/>
      <scheme val="minor"/>
    </font>
    <font>
      <b/>
      <sz val="20"/>
      <color theme="1"/>
      <name val="Calibri"/>
      <family val="2"/>
      <scheme val="minor"/>
    </font>
    <font>
      <b/>
      <sz val="11"/>
      <color theme="1"/>
      <name val="Calibri"/>
      <family val="2"/>
      <scheme val="minor"/>
    </font>
    <font>
      <u/>
      <sz val="11"/>
      <color theme="10"/>
      <name val="Calibri"/>
      <family val="2"/>
      <scheme val="minor"/>
    </font>
    <font>
      <u/>
      <sz val="11"/>
      <color theme="0"/>
      <name val="Calibri"/>
      <family val="2"/>
      <scheme val="minor"/>
    </font>
    <font>
      <sz val="10"/>
      <color theme="1"/>
      <name val="Calibri"/>
      <family val="2"/>
      <scheme val="minor"/>
    </font>
    <font>
      <b/>
      <sz val="8"/>
      <color theme="1"/>
      <name val="Calibri"/>
      <family val="2"/>
      <scheme val="minor"/>
    </font>
    <font>
      <b/>
      <sz val="11"/>
      <name val="Calibri"/>
      <family val="2"/>
      <scheme val="minor"/>
    </font>
    <font>
      <b/>
      <sz val="10"/>
      <color theme="1"/>
      <name val="Calibri"/>
      <family val="2"/>
      <scheme val="minor"/>
    </font>
    <font>
      <sz val="8"/>
      <name val="Calibri"/>
      <family val="2"/>
      <scheme val="minor"/>
    </font>
    <font>
      <sz val="9"/>
      <color theme="1"/>
      <name val="Calibri"/>
      <family val="2"/>
      <scheme val="minor"/>
    </font>
    <font>
      <sz val="6"/>
      <color theme="1"/>
      <name val="Calibri"/>
      <family val="2"/>
      <scheme val="minor"/>
    </font>
    <font>
      <i/>
      <sz val="8"/>
      <color rgb="FFFF0000"/>
      <name val="Calibri"/>
      <family val="2"/>
      <scheme val="minor"/>
    </font>
    <font>
      <b/>
      <sz val="16"/>
      <color theme="1"/>
      <name val="Calibri"/>
      <family val="2"/>
      <scheme val="minor"/>
    </font>
    <font>
      <b/>
      <sz val="18"/>
      <color theme="1"/>
      <name val="Calibri"/>
      <family val="2"/>
      <scheme val="minor"/>
    </font>
    <font>
      <sz val="11"/>
      <name val="Calibri"/>
      <family val="2"/>
      <scheme val="minor"/>
    </font>
    <font>
      <i/>
      <sz val="9"/>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9" tint="-0.499984740745262"/>
        <bgColor indexed="64"/>
      </patternFill>
    </fill>
    <fill>
      <patternFill patternType="solid">
        <fgColor theme="0" tint="-0.34998626667073579"/>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10" fillId="0" borderId="0" applyNumberFormat="0" applyFill="0" applyBorder="0" applyAlignment="0" applyProtection="0"/>
  </cellStyleXfs>
  <cellXfs count="173">
    <xf numFmtId="0" fontId="0" fillId="0" borderId="0" xfId="0"/>
    <xf numFmtId="0" fontId="0" fillId="3" borderId="7" xfId="0" applyFill="1" applyBorder="1" applyAlignment="1">
      <alignment horizontal="center"/>
    </xf>
    <xf numFmtId="0" fontId="6" fillId="0" borderId="0" xfId="0" applyFont="1" applyFill="1" applyBorder="1"/>
    <xf numFmtId="0" fontId="0" fillId="4" borderId="11" xfId="0" applyFill="1" applyBorder="1"/>
    <xf numFmtId="0" fontId="0" fillId="4" borderId="0" xfId="0" applyFill="1" applyBorder="1"/>
    <xf numFmtId="0" fontId="0" fillId="4" borderId="12" xfId="0" applyFill="1" applyBorder="1"/>
    <xf numFmtId="0" fontId="0" fillId="4" borderId="13" xfId="0" applyFill="1" applyBorder="1"/>
    <xf numFmtId="0" fontId="0" fillId="4" borderId="14" xfId="0" applyFill="1" applyBorder="1"/>
    <xf numFmtId="0" fontId="0" fillId="4" borderId="15" xfId="0" applyFill="1" applyBorder="1"/>
    <xf numFmtId="0" fontId="2" fillId="2" borderId="8" xfId="0" applyFont="1" applyFill="1" applyBorder="1"/>
    <xf numFmtId="0" fontId="2" fillId="2" borderId="9" xfId="0" applyFont="1" applyFill="1" applyBorder="1"/>
    <xf numFmtId="0" fontId="2" fillId="2" borderId="11" xfId="0" applyFont="1" applyFill="1" applyBorder="1"/>
    <xf numFmtId="0" fontId="8" fillId="2" borderId="0" xfId="1" applyFont="1" applyFill="1" applyBorder="1"/>
    <xf numFmtId="0" fontId="2" fillId="2" borderId="0" xfId="0" applyFont="1" applyFill="1" applyBorder="1"/>
    <xf numFmtId="0" fontId="2" fillId="2" borderId="13" xfId="0" applyFont="1" applyFill="1" applyBorder="1"/>
    <xf numFmtId="0" fontId="2" fillId="2" borderId="14" xfId="0" applyFont="1" applyFill="1" applyBorder="1"/>
    <xf numFmtId="0" fontId="0" fillId="0" borderId="16" xfId="0" applyBorder="1"/>
    <xf numFmtId="0" fontId="0" fillId="2" borderId="16" xfId="0" applyFill="1" applyBorder="1"/>
    <xf numFmtId="0" fontId="0" fillId="3" borderId="16" xfId="0" applyFill="1" applyBorder="1" applyAlignment="1">
      <alignment horizontal="center"/>
    </xf>
    <xf numFmtId="0" fontId="9" fillId="0" borderId="0" xfId="0" applyFont="1"/>
    <xf numFmtId="0" fontId="0" fillId="0" borderId="16" xfId="0" applyBorder="1" applyAlignment="1">
      <alignment horizontal="center"/>
    </xf>
    <xf numFmtId="0" fontId="0" fillId="2" borderId="0" xfId="0" applyFill="1" applyBorder="1"/>
    <xf numFmtId="0" fontId="0" fillId="0" borderId="0" xfId="0" applyFill="1" applyBorder="1"/>
    <xf numFmtId="0" fontId="0" fillId="0" borderId="0" xfId="0" applyFill="1" applyBorder="1" applyAlignment="1">
      <alignment horizontal="center"/>
    </xf>
    <xf numFmtId="0" fontId="9" fillId="2" borderId="16" xfId="0" applyFont="1" applyFill="1" applyBorder="1" applyAlignment="1">
      <alignment horizontal="center"/>
    </xf>
    <xf numFmtId="0" fontId="0" fillId="7" borderId="16" xfId="0" applyFill="1" applyBorder="1" applyAlignment="1">
      <alignment horizontal="center"/>
    </xf>
    <xf numFmtId="0" fontId="9" fillId="7" borderId="16" xfId="0" applyFont="1" applyFill="1" applyBorder="1"/>
    <xf numFmtId="0" fontId="0" fillId="7" borderId="17" xfId="0" applyFill="1" applyBorder="1" applyAlignment="1"/>
    <xf numFmtId="0" fontId="0" fillId="7" borderId="18" xfId="0" applyFill="1" applyBorder="1" applyAlignment="1"/>
    <xf numFmtId="0" fontId="0" fillId="2" borderId="0" xfId="0" applyFill="1"/>
    <xf numFmtId="0" fontId="0" fillId="2" borderId="9" xfId="0" applyFill="1" applyBorder="1"/>
    <xf numFmtId="0" fontId="0" fillId="2" borderId="10" xfId="0" applyFill="1" applyBorder="1"/>
    <xf numFmtId="0" fontId="0" fillId="2" borderId="12" xfId="0" applyFill="1" applyBorder="1"/>
    <xf numFmtId="0" fontId="0" fillId="2" borderId="14" xfId="0" applyFill="1" applyBorder="1"/>
    <xf numFmtId="0" fontId="0" fillId="2" borderId="15" xfId="0" applyFill="1" applyBorder="1"/>
    <xf numFmtId="0" fontId="2" fillId="0" borderId="8" xfId="0" applyFont="1" applyFill="1" applyBorder="1"/>
    <xf numFmtId="0" fontId="2" fillId="0" borderId="9" xfId="0" applyFont="1" applyFill="1" applyBorder="1"/>
    <xf numFmtId="0" fontId="0" fillId="0" borderId="9" xfId="0" applyBorder="1"/>
    <xf numFmtId="0" fontId="0" fillId="0" borderId="10" xfId="0" applyBorder="1"/>
    <xf numFmtId="0" fontId="0" fillId="0" borderId="11" xfId="0" applyFill="1" applyBorder="1"/>
    <xf numFmtId="0" fontId="0" fillId="0" borderId="0" xfId="0" applyBorder="1"/>
    <xf numFmtId="0" fontId="0" fillId="0" borderId="12" xfId="0" applyBorder="1"/>
    <xf numFmtId="0" fontId="0" fillId="0" borderId="11" xfId="0" applyBorder="1"/>
    <xf numFmtId="0" fontId="14" fillId="0" borderId="0" xfId="0" applyFont="1" applyFill="1" applyBorder="1"/>
    <xf numFmtId="0" fontId="0" fillId="0" borderId="13" xfId="0" applyBorder="1"/>
    <xf numFmtId="0" fontId="0" fillId="0" borderId="14" xfId="0" applyBorder="1"/>
    <xf numFmtId="0" fontId="0" fillId="0" borderId="15" xfId="0" applyBorder="1"/>
    <xf numFmtId="164" fontId="0" fillId="0" borderId="16" xfId="0" applyNumberFormat="1" applyBorder="1" applyAlignment="1">
      <alignment horizontal="center"/>
    </xf>
    <xf numFmtId="0" fontId="2" fillId="0" borderId="0" xfId="0" applyFont="1" applyFill="1" applyBorder="1"/>
    <xf numFmtId="164" fontId="0" fillId="3" borderId="16" xfId="0" applyNumberFormat="1" applyFill="1" applyBorder="1" applyAlignment="1">
      <alignment horizontal="center"/>
    </xf>
    <xf numFmtId="0" fontId="0" fillId="3" borderId="19" xfId="0" applyFill="1" applyBorder="1" applyAlignment="1">
      <alignment horizontal="center"/>
    </xf>
    <xf numFmtId="3" fontId="0" fillId="0" borderId="5" xfId="0" applyNumberFormat="1" applyBorder="1" applyAlignment="1">
      <alignment horizontal="center"/>
    </xf>
    <xf numFmtId="3" fontId="0" fillId="0" borderId="22" xfId="0" applyNumberFormat="1" applyBorder="1" applyAlignment="1">
      <alignment horizontal="center"/>
    </xf>
    <xf numFmtId="0" fontId="0" fillId="0" borderId="8" xfId="0" applyBorder="1"/>
    <xf numFmtId="0" fontId="0" fillId="9" borderId="30" xfId="0" applyFill="1" applyBorder="1"/>
    <xf numFmtId="0" fontId="0" fillId="9" borderId="29" xfId="0" applyFill="1" applyBorder="1"/>
    <xf numFmtId="0" fontId="0" fillId="9" borderId="31" xfId="0" applyFill="1" applyBorder="1"/>
    <xf numFmtId="0" fontId="0" fillId="9" borderId="32" xfId="0" applyFill="1" applyBorder="1"/>
    <xf numFmtId="0" fontId="0" fillId="9" borderId="0" xfId="0" applyFill="1" applyBorder="1"/>
    <xf numFmtId="0" fontId="0" fillId="9" borderId="33" xfId="0" applyFill="1" applyBorder="1"/>
    <xf numFmtId="0" fontId="0" fillId="9" borderId="28" xfId="0" applyFill="1" applyBorder="1"/>
    <xf numFmtId="0" fontId="0" fillId="9" borderId="35" xfId="0" applyFill="1" applyBorder="1"/>
    <xf numFmtId="164" fontId="0" fillId="10" borderId="5" xfId="0" applyNumberFormat="1" applyFill="1" applyBorder="1" applyAlignment="1">
      <alignment horizontal="center"/>
    </xf>
    <xf numFmtId="164" fontId="0" fillId="10" borderId="22" xfId="0" applyNumberFormat="1" applyFill="1" applyBorder="1" applyAlignment="1">
      <alignment horizontal="center"/>
    </xf>
    <xf numFmtId="0" fontId="17" fillId="2" borderId="16" xfId="0" applyFont="1" applyFill="1" applyBorder="1" applyAlignment="1">
      <alignment horizontal="center"/>
    </xf>
    <xf numFmtId="0" fontId="17" fillId="2" borderId="0" xfId="0" applyFont="1" applyFill="1" applyBorder="1"/>
    <xf numFmtId="0" fontId="0" fillId="0" borderId="0" xfId="0" applyBorder="1" applyAlignment="1">
      <alignment horizontal="center"/>
    </xf>
    <xf numFmtId="0" fontId="0" fillId="0" borderId="0" xfId="0" applyFill="1" applyBorder="1" applyAlignment="1"/>
    <xf numFmtId="0" fontId="0" fillId="0" borderId="36" xfId="0" applyBorder="1" applyAlignment="1">
      <alignment horizontal="center"/>
    </xf>
    <xf numFmtId="0" fontId="0" fillId="2" borderId="16" xfId="0" applyFont="1" applyFill="1" applyBorder="1" applyAlignment="1">
      <alignment horizontal="center"/>
    </xf>
    <xf numFmtId="3" fontId="0" fillId="0" borderId="16" xfId="0" applyNumberFormat="1" applyBorder="1" applyAlignment="1">
      <alignment horizontal="center"/>
    </xf>
    <xf numFmtId="3" fontId="0" fillId="0" borderId="0" xfId="0" applyNumberFormat="1"/>
    <xf numFmtId="0" fontId="19" fillId="0" borderId="0" xfId="0" applyFont="1" applyFill="1" applyBorder="1"/>
    <xf numFmtId="0" fontId="2" fillId="0" borderId="0" xfId="0" applyFont="1"/>
    <xf numFmtId="0" fontId="11" fillId="11" borderId="16" xfId="2" applyFont="1" applyFill="1" applyBorder="1" applyAlignment="1">
      <alignment horizontal="center" vertical="center"/>
    </xf>
    <xf numFmtId="0" fontId="11" fillId="11" borderId="0" xfId="2" applyFont="1" applyFill="1" applyBorder="1" applyAlignment="1">
      <alignment horizontal="center" vertical="center"/>
    </xf>
    <xf numFmtId="0" fontId="20" fillId="0" borderId="0" xfId="0" applyFont="1"/>
    <xf numFmtId="0" fontId="21" fillId="0" borderId="0" xfId="0" applyFont="1"/>
    <xf numFmtId="0" fontId="2" fillId="0" borderId="11" xfId="0" applyFont="1" applyFill="1" applyBorder="1"/>
    <xf numFmtId="0" fontId="0" fillId="2" borderId="0" xfId="0" applyFill="1" applyBorder="1" applyAlignment="1"/>
    <xf numFmtId="0" fontId="6" fillId="0" borderId="0" xfId="0" applyFont="1" applyAlignment="1">
      <alignment horizontal="left" vertical="center"/>
    </xf>
    <xf numFmtId="0" fontId="0" fillId="0" borderId="9" xfId="0" applyFill="1" applyBorder="1"/>
    <xf numFmtId="0" fontId="0" fillId="0" borderId="10" xfId="0" applyFill="1" applyBorder="1"/>
    <xf numFmtId="0" fontId="9" fillId="4" borderId="0" xfId="0" applyFont="1" applyFill="1" applyBorder="1" applyAlignment="1">
      <alignment horizontal="center"/>
    </xf>
    <xf numFmtId="164" fontId="0" fillId="0" borderId="0" xfId="0" applyNumberFormat="1" applyBorder="1" applyAlignment="1">
      <alignment horizontal="center"/>
    </xf>
    <xf numFmtId="0" fontId="9" fillId="0" borderId="0" xfId="0" applyFont="1" applyFill="1" applyBorder="1" applyAlignment="1">
      <alignment horizontal="center"/>
    </xf>
    <xf numFmtId="164" fontId="0" fillId="0" borderId="0" xfId="0" applyNumberFormat="1" applyFill="1" applyBorder="1" applyAlignment="1">
      <alignment horizontal="center"/>
    </xf>
    <xf numFmtId="3" fontId="0" fillId="0" borderId="0" xfId="0" applyNumberFormat="1" applyBorder="1" applyAlignment="1">
      <alignment horizontal="center"/>
    </xf>
    <xf numFmtId="0" fontId="15" fillId="0" borderId="0" xfId="0" applyFont="1" applyFill="1" applyBorder="1" applyAlignment="1"/>
    <xf numFmtId="164" fontId="0" fillId="6" borderId="16" xfId="0" applyNumberFormat="1" applyFill="1" applyBorder="1" applyAlignment="1">
      <alignment horizontal="center"/>
    </xf>
    <xf numFmtId="0" fontId="15" fillId="0" borderId="14" xfId="0" applyFont="1" applyFill="1" applyBorder="1" applyAlignment="1"/>
    <xf numFmtId="3" fontId="0" fillId="0" borderId="14" xfId="0" applyNumberFormat="1" applyBorder="1" applyAlignment="1">
      <alignment horizontal="center"/>
    </xf>
    <xf numFmtId="0" fontId="9" fillId="0" borderId="14" xfId="0" applyFont="1" applyFill="1" applyBorder="1" applyAlignment="1">
      <alignment horizontal="center"/>
    </xf>
    <xf numFmtId="0" fontId="9" fillId="0" borderId="0" xfId="0" applyFont="1" applyBorder="1"/>
    <xf numFmtId="0" fontId="9" fillId="0" borderId="9" xfId="0" applyFont="1" applyBorder="1"/>
    <xf numFmtId="1" fontId="0" fillId="0" borderId="16" xfId="0" applyNumberFormat="1" applyBorder="1" applyAlignment="1">
      <alignment horizontal="center"/>
    </xf>
    <xf numFmtId="0" fontId="9" fillId="8" borderId="16" xfId="0" applyFont="1" applyFill="1" applyBorder="1" applyAlignment="1">
      <alignment horizontal="center" wrapText="1"/>
    </xf>
    <xf numFmtId="164" fontId="12" fillId="0" borderId="0" xfId="0" applyNumberFormat="1" applyFont="1" applyFill="1" applyBorder="1" applyAlignment="1">
      <alignment horizontal="left"/>
    </xf>
    <xf numFmtId="0" fontId="12" fillId="0" borderId="0" xfId="0" applyFont="1" applyBorder="1"/>
    <xf numFmtId="0" fontId="15" fillId="8" borderId="16" xfId="0" applyFont="1" applyFill="1" applyBorder="1" applyAlignment="1">
      <alignment horizontal="center" vertical="center" wrapText="1"/>
    </xf>
    <xf numFmtId="0" fontId="9" fillId="12" borderId="16" xfId="0" applyFont="1" applyFill="1" applyBorder="1" applyAlignment="1">
      <alignment horizontal="center"/>
    </xf>
    <xf numFmtId="0" fontId="9" fillId="12" borderId="16" xfId="0" applyFont="1" applyFill="1" applyBorder="1"/>
    <xf numFmtId="0" fontId="0" fillId="3" borderId="16" xfId="0" applyFill="1" applyBorder="1" applyAlignment="1" applyProtection="1">
      <alignment horizontal="center"/>
      <protection locked="0"/>
    </xf>
    <xf numFmtId="164" fontId="0" fillId="0" borderId="16" xfId="0" applyNumberFormat="1" applyBorder="1" applyAlignment="1">
      <alignment horizontal="center" vertical="center"/>
    </xf>
    <xf numFmtId="0" fontId="23" fillId="0" borderId="0" xfId="0" applyFont="1" applyBorder="1" applyAlignment="1">
      <alignment vertical="top"/>
    </xf>
    <xf numFmtId="0" fontId="12" fillId="0" borderId="0" xfId="0" applyFont="1" applyFill="1" applyBorder="1" applyAlignment="1"/>
    <xf numFmtId="0" fontId="0" fillId="4" borderId="8" xfId="0" applyFill="1" applyBorder="1"/>
    <xf numFmtId="0" fontId="3" fillId="4" borderId="9" xfId="1" applyFont="1" applyFill="1" applyBorder="1"/>
    <xf numFmtId="0" fontId="0" fillId="4" borderId="9" xfId="0" applyFill="1" applyBorder="1"/>
    <xf numFmtId="0" fontId="0" fillId="4" borderId="10" xfId="0" applyFill="1" applyBorder="1"/>
    <xf numFmtId="0" fontId="22" fillId="7" borderId="37" xfId="0" applyFont="1" applyFill="1" applyBorder="1" applyAlignment="1" applyProtection="1">
      <alignment horizontal="center" vertical="center"/>
    </xf>
    <xf numFmtId="0" fontId="4"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11" fillId="11" borderId="0" xfId="2" applyFont="1" applyFill="1" applyBorder="1" applyAlignment="1">
      <alignment horizontal="center" vertical="center"/>
    </xf>
    <xf numFmtId="0" fontId="0" fillId="11" borderId="0" xfId="0" applyFill="1" applyBorder="1" applyAlignment="1">
      <alignment horizontal="center" vertical="center"/>
    </xf>
    <xf numFmtId="0" fontId="15" fillId="8" borderId="16" xfId="0" applyFont="1" applyFill="1" applyBorder="1" applyAlignment="1"/>
    <xf numFmtId="0" fontId="12" fillId="2" borderId="16" xfId="0" applyFont="1" applyFill="1" applyBorder="1"/>
    <xf numFmtId="0" fontId="15" fillId="8" borderId="16" xfId="0" applyFont="1" applyFill="1" applyBorder="1"/>
    <xf numFmtId="0" fontId="9" fillId="0" borderId="32" xfId="0" applyFont="1" applyFill="1" applyBorder="1" applyAlignment="1">
      <alignment horizontal="center"/>
    </xf>
    <xf numFmtId="0" fontId="9" fillId="0" borderId="0" xfId="0" applyFont="1" applyFill="1" applyBorder="1" applyAlignment="1">
      <alignment horizontal="center"/>
    </xf>
    <xf numFmtId="0" fontId="0" fillId="3" borderId="16" xfId="0" applyFill="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xf numFmtId="0" fontId="7" fillId="5" borderId="32" xfId="0" applyFont="1" applyFill="1" applyBorder="1" applyAlignment="1">
      <alignment horizontal="left" vertical="center" wrapText="1"/>
    </xf>
    <xf numFmtId="0" fontId="5" fillId="5" borderId="0" xfId="0" applyFont="1" applyFill="1" applyBorder="1" applyAlignment="1">
      <alignment horizontal="left" vertical="center" wrapText="1"/>
    </xf>
    <xf numFmtId="0" fontId="0" fillId="0" borderId="0" xfId="0" applyBorder="1" applyAlignment="1"/>
    <xf numFmtId="0" fontId="9" fillId="10" borderId="0" xfId="0" applyFont="1" applyFill="1" applyBorder="1" applyAlignment="1">
      <alignment horizontal="center"/>
    </xf>
    <xf numFmtId="0" fontId="9" fillId="10" borderId="16" xfId="0" applyFont="1" applyFill="1" applyBorder="1" applyAlignment="1">
      <alignment horizontal="center"/>
    </xf>
    <xf numFmtId="0" fontId="12" fillId="0" borderId="16" xfId="0" applyFont="1" applyBorder="1" applyAlignment="1"/>
    <xf numFmtId="0" fontId="17" fillId="2" borderId="4" xfId="0" applyFont="1" applyFill="1" applyBorder="1"/>
    <xf numFmtId="0" fontId="17" fillId="2" borderId="5" xfId="0" applyFont="1" applyFill="1" applyBorder="1"/>
    <xf numFmtId="0" fontId="17" fillId="2" borderId="20" xfId="0" applyFont="1" applyFill="1" applyBorder="1"/>
    <xf numFmtId="0" fontId="17" fillId="2" borderId="21" xfId="0" applyFont="1" applyFill="1" applyBorder="1"/>
    <xf numFmtId="0" fontId="15" fillId="8" borderId="4" xfId="0" applyFont="1" applyFill="1" applyBorder="1" applyAlignment="1"/>
    <xf numFmtId="0" fontId="15" fillId="8" borderId="5" xfId="0" applyFont="1" applyFill="1" applyBorder="1" applyAlignment="1"/>
    <xf numFmtId="0" fontId="17" fillId="2" borderId="16" xfId="0" applyFont="1" applyFill="1" applyBorder="1"/>
    <xf numFmtId="0" fontId="15" fillId="8" borderId="4" xfId="0" applyFont="1" applyFill="1" applyBorder="1"/>
    <xf numFmtId="0" fontId="15" fillId="8" borderId="5" xfId="0" applyFont="1" applyFill="1" applyBorder="1"/>
    <xf numFmtId="0" fontId="9" fillId="10" borderId="5" xfId="0" applyFont="1" applyFill="1" applyBorder="1" applyAlignment="1">
      <alignment horizontal="center"/>
    </xf>
    <xf numFmtId="0" fontId="9" fillId="10" borderId="6" xfId="0" applyFont="1" applyFill="1" applyBorder="1" applyAlignment="1">
      <alignment horizontal="center"/>
    </xf>
    <xf numFmtId="0" fontId="7" fillId="5" borderId="16"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0" fillId="0" borderId="16" xfId="0" applyBorder="1" applyAlignment="1">
      <alignment wrapText="1"/>
    </xf>
    <xf numFmtId="0" fontId="15" fillId="8" borderId="20" xfId="0" applyFont="1" applyFill="1" applyBorder="1"/>
    <xf numFmtId="0" fontId="15" fillId="8" borderId="21" xfId="0" applyFont="1" applyFill="1" applyBorder="1"/>
    <xf numFmtId="0" fontId="9" fillId="10" borderId="22" xfId="0" applyFont="1" applyFill="1" applyBorder="1" applyAlignment="1">
      <alignment horizontal="center"/>
    </xf>
    <xf numFmtId="0" fontId="9" fillId="10" borderId="7" xfId="0" applyFont="1" applyFill="1" applyBorder="1" applyAlignment="1">
      <alignment horizontal="center"/>
    </xf>
    <xf numFmtId="0" fontId="9" fillId="10" borderId="23" xfId="0" applyFont="1" applyFill="1" applyBorder="1" applyAlignment="1">
      <alignment horizontal="center"/>
    </xf>
    <xf numFmtId="0" fontId="9" fillId="10" borderId="24" xfId="0" applyFont="1" applyFill="1" applyBorder="1" applyAlignment="1">
      <alignment horizontal="center"/>
    </xf>
    <xf numFmtId="0" fontId="15" fillId="8" borderId="25" xfId="0" applyFont="1" applyFill="1" applyBorder="1" applyAlignment="1"/>
    <xf numFmtId="0" fontId="15" fillId="8" borderId="22" xfId="0" applyFont="1" applyFill="1" applyBorder="1" applyAlignment="1"/>
    <xf numFmtId="0" fontId="9" fillId="0" borderId="26" xfId="0" applyFont="1" applyFill="1" applyBorder="1" applyAlignment="1">
      <alignment horizontal="center"/>
    </xf>
    <xf numFmtId="0" fontId="9" fillId="0" borderId="27" xfId="0" applyFont="1" applyFill="1" applyBorder="1" applyAlignment="1">
      <alignment horizontal="center"/>
    </xf>
    <xf numFmtId="0" fontId="0" fillId="7" borderId="16" xfId="0" applyFill="1" applyBorder="1" applyAlignment="1"/>
    <xf numFmtId="0" fontId="0" fillId="7" borderId="17" xfId="0" applyFill="1" applyBorder="1" applyAlignment="1"/>
    <xf numFmtId="0" fontId="0" fillId="7" borderId="18" xfId="0" applyFill="1" applyBorder="1" applyAlignment="1"/>
    <xf numFmtId="0" fontId="0" fillId="0" borderId="17" xfId="0" applyBorder="1" applyAlignment="1"/>
    <xf numFmtId="0" fontId="0" fillId="0" borderId="18" xfId="0" applyBorder="1" applyAlignment="1"/>
    <xf numFmtId="0" fontId="12" fillId="9" borderId="32" xfId="0" applyFont="1" applyFill="1" applyBorder="1" applyAlignment="1">
      <alignment vertical="center"/>
    </xf>
    <xf numFmtId="0" fontId="0" fillId="9" borderId="34" xfId="0" applyFill="1" applyBorder="1" applyAlignment="1">
      <alignment vertical="center"/>
    </xf>
    <xf numFmtId="0" fontId="12" fillId="9" borderId="28" xfId="0" applyFont="1" applyFill="1" applyBorder="1" applyAlignment="1">
      <alignment horizontal="center"/>
    </xf>
    <xf numFmtId="0" fontId="0" fillId="9" borderId="28" xfId="0" applyFill="1" applyBorder="1" applyAlignment="1"/>
    <xf numFmtId="0" fontId="9" fillId="7" borderId="17" xfId="0" applyFont="1" applyFill="1" applyBorder="1" applyAlignment="1"/>
    <xf numFmtId="0" fontId="12" fillId="9" borderId="0" xfId="0" applyFont="1" applyFill="1" applyBorder="1" applyAlignment="1">
      <alignment vertical="center"/>
    </xf>
    <xf numFmtId="0" fontId="0" fillId="9" borderId="0" xfId="0" applyFill="1" applyBorder="1" applyAlignment="1">
      <alignment vertical="center"/>
    </xf>
    <xf numFmtId="0" fontId="0" fillId="9" borderId="33" xfId="0" applyFill="1" applyBorder="1" applyAlignment="1">
      <alignment vertical="center"/>
    </xf>
    <xf numFmtId="0" fontId="0" fillId="9" borderId="34" xfId="0" applyFill="1" applyBorder="1" applyAlignment="1">
      <alignment horizontal="center"/>
    </xf>
    <xf numFmtId="0" fontId="0" fillId="9" borderId="28" xfId="0" applyFill="1" applyBorder="1" applyAlignment="1">
      <alignment horizontal="center"/>
    </xf>
    <xf numFmtId="0" fontId="0" fillId="9" borderId="32" xfId="0" applyFill="1" applyBorder="1" applyAlignment="1">
      <alignment horizontal="center"/>
    </xf>
    <xf numFmtId="0" fontId="0" fillId="9" borderId="0" xfId="0" applyFill="1" applyBorder="1" applyAlignment="1">
      <alignment horizontal="center"/>
    </xf>
    <xf numFmtId="0" fontId="12" fillId="9" borderId="0" xfId="0" applyFont="1" applyFill="1" applyBorder="1" applyAlignment="1">
      <alignment horizontal="center" vertical="center"/>
    </xf>
    <xf numFmtId="0" fontId="0" fillId="9" borderId="0" xfId="0" applyFill="1" applyBorder="1" applyAlignment="1">
      <alignment horizontal="center" vertical="center"/>
    </xf>
  </cellXfs>
  <cellStyles count="3">
    <cellStyle name="Hyperlinkki" xfId="2" builtinId="8"/>
    <cellStyle name="Normaali" xfId="0" builtinId="0"/>
    <cellStyle name="Otsikko" xfId="1" builtinId="15"/>
  </cellStyles>
  <dxfs count="3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5" tint="0.39994506668294322"/>
        </patternFill>
      </fill>
    </dxf>
    <dxf>
      <fill>
        <patternFill>
          <bgColor rgb="FF92D050"/>
        </patternFill>
      </fill>
    </dxf>
    <dxf>
      <fill>
        <patternFill>
          <bgColor theme="5" tint="0.39994506668294322"/>
        </patternFill>
      </fill>
    </dxf>
    <dxf>
      <fill>
        <patternFill>
          <bgColor theme="9" tint="0.39994506668294322"/>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5" tint="0.39994506668294322"/>
        </patternFill>
      </fill>
    </dxf>
    <dxf>
      <fill>
        <patternFill>
          <bgColor rgb="FF92D050"/>
        </patternFill>
      </fill>
    </dxf>
    <dxf>
      <fill>
        <patternFill>
          <bgColor theme="5" tint="0.39994506668294322"/>
        </patternFill>
      </fill>
    </dxf>
    <dxf>
      <fill>
        <patternFill>
          <bgColor theme="9" tint="0.39994506668294322"/>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849348</xdr:colOff>
      <xdr:row>4</xdr:row>
      <xdr:rowOff>36830</xdr:rowOff>
    </xdr:from>
    <xdr:to>
      <xdr:col>7</xdr:col>
      <xdr:colOff>154183</xdr:colOff>
      <xdr:row>5</xdr:row>
      <xdr:rowOff>92189</xdr:rowOff>
    </xdr:to>
    <xdr:pic>
      <xdr:nvPicPr>
        <xdr:cNvPr id="3" name="Kuva 2">
          <a:extLst>
            <a:ext uri="{FF2B5EF4-FFF2-40B4-BE49-F238E27FC236}">
              <a16:creationId xmlns:a16="http://schemas.microsoft.com/office/drawing/2014/main" id="{0396F1D6-CDDF-47ED-B17E-236788CBE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8868" y="2010410"/>
          <a:ext cx="333535" cy="238239"/>
        </a:xfrm>
        <a:prstGeom prst="rect">
          <a:avLst/>
        </a:prstGeom>
      </xdr:spPr>
    </xdr:pic>
    <xdr:clientData/>
  </xdr:twoCellAnchor>
  <xdr:twoCellAnchor editAs="oneCell">
    <xdr:from>
      <xdr:col>0</xdr:col>
      <xdr:colOff>139700</xdr:colOff>
      <xdr:row>10</xdr:row>
      <xdr:rowOff>182596</xdr:rowOff>
    </xdr:from>
    <xdr:to>
      <xdr:col>9</xdr:col>
      <xdr:colOff>29210</xdr:colOff>
      <xdr:row>33</xdr:row>
      <xdr:rowOff>95739</xdr:rowOff>
    </xdr:to>
    <xdr:pic>
      <xdr:nvPicPr>
        <xdr:cNvPr id="5" name="Kuva 4">
          <a:extLst>
            <a:ext uri="{FF2B5EF4-FFF2-40B4-BE49-F238E27FC236}">
              <a16:creationId xmlns:a16="http://schemas.microsoft.com/office/drawing/2014/main" id="{7D3E98E0-FB97-45FB-B3F6-7DCE22337D36}"/>
            </a:ext>
          </a:extLst>
        </xdr:cNvPr>
        <xdr:cNvPicPr>
          <a:picLocks noChangeAspect="1"/>
        </xdr:cNvPicPr>
      </xdr:nvPicPr>
      <xdr:blipFill>
        <a:blip xmlns:r="http://schemas.openxmlformats.org/officeDocument/2006/relationships" r:embed="rId2"/>
        <a:stretch>
          <a:fillRect/>
        </a:stretch>
      </xdr:blipFill>
      <xdr:spPr>
        <a:xfrm>
          <a:off x="139700" y="3370296"/>
          <a:ext cx="5130800" cy="4148593"/>
        </a:xfrm>
        <a:prstGeom prst="rect">
          <a:avLst/>
        </a:prstGeom>
      </xdr:spPr>
    </xdr:pic>
    <xdr:clientData/>
  </xdr:twoCellAnchor>
  <xdr:twoCellAnchor>
    <xdr:from>
      <xdr:col>0</xdr:col>
      <xdr:colOff>139700</xdr:colOff>
      <xdr:row>34</xdr:row>
      <xdr:rowOff>98411</xdr:rowOff>
    </xdr:from>
    <xdr:to>
      <xdr:col>10</xdr:col>
      <xdr:colOff>6350</xdr:colOff>
      <xdr:row>55</xdr:row>
      <xdr:rowOff>133350</xdr:rowOff>
    </xdr:to>
    <xdr:pic>
      <xdr:nvPicPr>
        <xdr:cNvPr id="6" name="x_Kuva 2">
          <a:extLst>
            <a:ext uri="{FF2B5EF4-FFF2-40B4-BE49-F238E27FC236}">
              <a16:creationId xmlns:a16="http://schemas.microsoft.com/office/drawing/2014/main" id="{83D2E473-A2D0-4103-AA1E-8C44C8CD2D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700" y="7705711"/>
          <a:ext cx="5130800" cy="390208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215900</xdr:colOff>
      <xdr:row>35</xdr:row>
      <xdr:rowOff>133350</xdr:rowOff>
    </xdr:from>
    <xdr:to>
      <xdr:col>9</xdr:col>
      <xdr:colOff>457200</xdr:colOff>
      <xdr:row>38</xdr:row>
      <xdr:rowOff>63500</xdr:rowOff>
    </xdr:to>
    <xdr:sp macro="" textlink="">
      <xdr:nvSpPr>
        <xdr:cNvPr id="4" name="Tekstiruutu 3">
          <a:extLst>
            <a:ext uri="{FF2B5EF4-FFF2-40B4-BE49-F238E27FC236}">
              <a16:creationId xmlns:a16="http://schemas.microsoft.com/office/drawing/2014/main" id="{FA7FA03F-E4B3-440A-AB03-CC8913179ADC}"/>
            </a:ext>
          </a:extLst>
        </xdr:cNvPr>
        <xdr:cNvSpPr txBox="1"/>
      </xdr:nvSpPr>
      <xdr:spPr>
        <a:xfrm>
          <a:off x="2794000" y="7924800"/>
          <a:ext cx="2317750" cy="482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i-FI" sz="1200"/>
            <a:t>ESIMERKKI KATUJEN PÄIHIN SIJOITETTAVISTA</a:t>
          </a:r>
          <a:r>
            <a:rPr lang="fi-FI" sz="1200" baseline="0"/>
            <a:t> LUMITILOISTA</a:t>
          </a:r>
          <a:endParaRPr lang="fi-FI" sz="1200"/>
        </a:p>
      </xdr:txBody>
    </xdr:sp>
    <xdr:clientData/>
  </xdr:twoCellAnchor>
  <xdr:twoCellAnchor editAs="oneCell">
    <xdr:from>
      <xdr:col>6</xdr:col>
      <xdr:colOff>739140</xdr:colOff>
      <xdr:row>0</xdr:row>
      <xdr:rowOff>88684</xdr:rowOff>
    </xdr:from>
    <xdr:to>
      <xdr:col>8</xdr:col>
      <xdr:colOff>99060</xdr:colOff>
      <xdr:row>0</xdr:row>
      <xdr:rowOff>286393</xdr:rowOff>
    </xdr:to>
    <xdr:pic>
      <xdr:nvPicPr>
        <xdr:cNvPr id="7" name="Kuva 6">
          <a:extLst>
            <a:ext uri="{FF2B5EF4-FFF2-40B4-BE49-F238E27FC236}">
              <a16:creationId xmlns:a16="http://schemas.microsoft.com/office/drawing/2014/main" id="{FDC861D5-1DA0-4DE5-BD21-F69A094C5F8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18660" y="88684"/>
          <a:ext cx="594360" cy="197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82550</xdr:colOff>
      <xdr:row>6</xdr:row>
      <xdr:rowOff>298450</xdr:rowOff>
    </xdr:from>
    <xdr:to>
      <xdr:col>11</xdr:col>
      <xdr:colOff>191846</xdr:colOff>
      <xdr:row>13</xdr:row>
      <xdr:rowOff>94407</xdr:rowOff>
    </xdr:to>
    <xdr:pic>
      <xdr:nvPicPr>
        <xdr:cNvPr id="2" name="Kuva 1">
          <a:extLst>
            <a:ext uri="{FF2B5EF4-FFF2-40B4-BE49-F238E27FC236}">
              <a16:creationId xmlns:a16="http://schemas.microsoft.com/office/drawing/2014/main" id="{8770F69E-0F56-4515-B4F2-1B69CA959E35}"/>
            </a:ext>
          </a:extLst>
        </xdr:cNvPr>
        <xdr:cNvPicPr>
          <a:picLocks noChangeAspect="1"/>
        </xdr:cNvPicPr>
      </xdr:nvPicPr>
      <xdr:blipFill>
        <a:blip xmlns:r="http://schemas.openxmlformats.org/officeDocument/2006/relationships" r:embed="rId1"/>
        <a:stretch>
          <a:fillRect/>
        </a:stretch>
      </xdr:blipFill>
      <xdr:spPr>
        <a:xfrm>
          <a:off x="3683000" y="1981200"/>
          <a:ext cx="2630246" cy="1217087"/>
        </a:xfrm>
        <a:prstGeom prst="rect">
          <a:avLst/>
        </a:prstGeom>
      </xdr:spPr>
    </xdr:pic>
    <xdr:clientData/>
  </xdr:twoCellAnchor>
  <xdr:twoCellAnchor editAs="oneCell">
    <xdr:from>
      <xdr:col>10</xdr:col>
      <xdr:colOff>428978</xdr:colOff>
      <xdr:row>3</xdr:row>
      <xdr:rowOff>800100</xdr:rowOff>
    </xdr:from>
    <xdr:to>
      <xdr:col>11</xdr:col>
      <xdr:colOff>152913</xdr:colOff>
      <xdr:row>4</xdr:row>
      <xdr:rowOff>92189</xdr:rowOff>
    </xdr:to>
    <xdr:pic>
      <xdr:nvPicPr>
        <xdr:cNvPr id="4" name="Kuva 3">
          <a:extLst>
            <a:ext uri="{FF2B5EF4-FFF2-40B4-BE49-F238E27FC236}">
              <a16:creationId xmlns:a16="http://schemas.microsoft.com/office/drawing/2014/main" id="{56446677-E7FC-42F0-A0A3-3E1DDB0380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40778" y="1346200"/>
          <a:ext cx="333535" cy="2382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50799</xdr:colOff>
      <xdr:row>6</xdr:row>
      <xdr:rowOff>244157</xdr:rowOff>
    </xdr:from>
    <xdr:to>
      <xdr:col>10</xdr:col>
      <xdr:colOff>129584</xdr:colOff>
      <xdr:row>11</xdr:row>
      <xdr:rowOff>95646</xdr:rowOff>
    </xdr:to>
    <xdr:pic>
      <xdr:nvPicPr>
        <xdr:cNvPr id="2" name="Kuva 1">
          <a:extLst>
            <a:ext uri="{FF2B5EF4-FFF2-40B4-BE49-F238E27FC236}">
              <a16:creationId xmlns:a16="http://schemas.microsoft.com/office/drawing/2014/main" id="{0B8156B6-70A0-4244-8345-4AC6406A4F36}"/>
            </a:ext>
          </a:extLst>
        </xdr:cNvPr>
        <xdr:cNvPicPr>
          <a:picLocks noChangeAspect="1"/>
        </xdr:cNvPicPr>
      </xdr:nvPicPr>
      <xdr:blipFill rotWithShape="1">
        <a:blip xmlns:r="http://schemas.openxmlformats.org/officeDocument/2006/relationships" r:embed="rId1"/>
        <a:srcRect l="2479" r="5604"/>
        <a:stretch/>
      </xdr:blipFill>
      <xdr:spPr>
        <a:xfrm>
          <a:off x="3601615" y="2369463"/>
          <a:ext cx="2588226" cy="881744"/>
        </a:xfrm>
        <a:prstGeom prst="rect">
          <a:avLst/>
        </a:prstGeom>
      </xdr:spPr>
    </xdr:pic>
    <xdr:clientData/>
  </xdr:twoCellAnchor>
  <xdr:twoCellAnchor>
    <xdr:from>
      <xdr:col>8</xdr:col>
      <xdr:colOff>22225</xdr:colOff>
      <xdr:row>8</xdr:row>
      <xdr:rowOff>21453</xdr:rowOff>
    </xdr:from>
    <xdr:to>
      <xdr:col>8</xdr:col>
      <xdr:colOff>219075</xdr:colOff>
      <xdr:row>9</xdr:row>
      <xdr:rowOff>37329</xdr:rowOff>
    </xdr:to>
    <xdr:sp macro="" textlink="">
      <xdr:nvSpPr>
        <xdr:cNvPr id="3" name="Ellipsi 2">
          <a:extLst>
            <a:ext uri="{FF2B5EF4-FFF2-40B4-BE49-F238E27FC236}">
              <a16:creationId xmlns:a16="http://schemas.microsoft.com/office/drawing/2014/main" id="{741B3727-583A-4327-9407-80CD8502DD49}"/>
            </a:ext>
          </a:extLst>
        </xdr:cNvPr>
        <xdr:cNvSpPr/>
      </xdr:nvSpPr>
      <xdr:spPr>
        <a:xfrm>
          <a:off x="4791205" y="2632729"/>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1</a:t>
          </a:r>
        </a:p>
      </xdr:txBody>
    </xdr:sp>
    <xdr:clientData/>
  </xdr:twoCellAnchor>
  <xdr:twoCellAnchor>
    <xdr:from>
      <xdr:col>9</xdr:col>
      <xdr:colOff>168275</xdr:colOff>
      <xdr:row>8</xdr:row>
      <xdr:rowOff>11928</xdr:rowOff>
    </xdr:from>
    <xdr:to>
      <xdr:col>9</xdr:col>
      <xdr:colOff>365125</xdr:colOff>
      <xdr:row>9</xdr:row>
      <xdr:rowOff>27804</xdr:rowOff>
    </xdr:to>
    <xdr:sp macro="" textlink="">
      <xdr:nvSpPr>
        <xdr:cNvPr id="4" name="Ellipsi 3">
          <a:extLst>
            <a:ext uri="{FF2B5EF4-FFF2-40B4-BE49-F238E27FC236}">
              <a16:creationId xmlns:a16="http://schemas.microsoft.com/office/drawing/2014/main" id="{42E70AA7-8C22-4F04-B6F9-2C839DD177FA}"/>
            </a:ext>
          </a:extLst>
        </xdr:cNvPr>
        <xdr:cNvSpPr/>
      </xdr:nvSpPr>
      <xdr:spPr>
        <a:xfrm>
          <a:off x="5287153" y="2623204"/>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2</a:t>
          </a:r>
        </a:p>
      </xdr:txBody>
    </xdr:sp>
    <xdr:clientData/>
  </xdr:twoCellAnchor>
  <xdr:twoCellAnchor>
    <xdr:from>
      <xdr:col>9</xdr:col>
      <xdr:colOff>209550</xdr:colOff>
      <xdr:row>11</xdr:row>
      <xdr:rowOff>174307</xdr:rowOff>
    </xdr:from>
    <xdr:to>
      <xdr:col>9</xdr:col>
      <xdr:colOff>406400</xdr:colOff>
      <xdr:row>13</xdr:row>
      <xdr:rowOff>8754</xdr:rowOff>
    </xdr:to>
    <xdr:sp macro="" textlink="">
      <xdr:nvSpPr>
        <xdr:cNvPr id="5" name="Ellipsi 4">
          <a:extLst>
            <a:ext uri="{FF2B5EF4-FFF2-40B4-BE49-F238E27FC236}">
              <a16:creationId xmlns:a16="http://schemas.microsoft.com/office/drawing/2014/main" id="{04F309C5-8F60-4D4B-A7EB-F3ADAAA14266}"/>
            </a:ext>
          </a:extLst>
        </xdr:cNvPr>
        <xdr:cNvSpPr/>
      </xdr:nvSpPr>
      <xdr:spPr>
        <a:xfrm>
          <a:off x="5328428" y="3329868"/>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4</a:t>
          </a:r>
        </a:p>
      </xdr:txBody>
    </xdr:sp>
    <xdr:clientData/>
  </xdr:twoCellAnchor>
  <xdr:twoCellAnchor>
    <xdr:from>
      <xdr:col>7</xdr:col>
      <xdr:colOff>136525</xdr:colOff>
      <xdr:row>8</xdr:row>
      <xdr:rowOff>2403</xdr:rowOff>
    </xdr:from>
    <xdr:to>
      <xdr:col>7</xdr:col>
      <xdr:colOff>333375</xdr:colOff>
      <xdr:row>9</xdr:row>
      <xdr:rowOff>18279</xdr:rowOff>
    </xdr:to>
    <xdr:sp macro="" textlink="">
      <xdr:nvSpPr>
        <xdr:cNvPr id="6" name="Ellipsi 5">
          <a:extLst>
            <a:ext uri="{FF2B5EF4-FFF2-40B4-BE49-F238E27FC236}">
              <a16:creationId xmlns:a16="http://schemas.microsoft.com/office/drawing/2014/main" id="{CADD63DF-0332-47BD-8CA2-72F1EA19E808}"/>
            </a:ext>
          </a:extLst>
        </xdr:cNvPr>
        <xdr:cNvSpPr/>
      </xdr:nvSpPr>
      <xdr:spPr>
        <a:xfrm>
          <a:off x="4296423" y="2613679"/>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3</a:t>
          </a:r>
        </a:p>
      </xdr:txBody>
    </xdr:sp>
    <xdr:clientData/>
  </xdr:twoCellAnchor>
  <xdr:twoCellAnchor>
    <xdr:from>
      <xdr:col>7</xdr:col>
      <xdr:colOff>155575</xdr:colOff>
      <xdr:row>11</xdr:row>
      <xdr:rowOff>164782</xdr:rowOff>
    </xdr:from>
    <xdr:to>
      <xdr:col>7</xdr:col>
      <xdr:colOff>352425</xdr:colOff>
      <xdr:row>12</xdr:row>
      <xdr:rowOff>180657</xdr:rowOff>
    </xdr:to>
    <xdr:sp macro="" textlink="">
      <xdr:nvSpPr>
        <xdr:cNvPr id="7" name="Ellipsi 6">
          <a:extLst>
            <a:ext uri="{FF2B5EF4-FFF2-40B4-BE49-F238E27FC236}">
              <a16:creationId xmlns:a16="http://schemas.microsoft.com/office/drawing/2014/main" id="{C0EA64E0-32CE-4120-80F2-EE376FF0C662}"/>
            </a:ext>
          </a:extLst>
        </xdr:cNvPr>
        <xdr:cNvSpPr/>
      </xdr:nvSpPr>
      <xdr:spPr>
        <a:xfrm>
          <a:off x="4315473" y="3320343"/>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5</a:t>
          </a:r>
        </a:p>
      </xdr:txBody>
    </xdr:sp>
    <xdr:clientData/>
  </xdr:twoCellAnchor>
  <xdr:twoCellAnchor>
    <xdr:from>
      <xdr:col>10</xdr:col>
      <xdr:colOff>38100</xdr:colOff>
      <xdr:row>8</xdr:row>
      <xdr:rowOff>8753</xdr:rowOff>
    </xdr:from>
    <xdr:to>
      <xdr:col>10</xdr:col>
      <xdr:colOff>234950</xdr:colOff>
      <xdr:row>9</xdr:row>
      <xdr:rowOff>24629</xdr:rowOff>
    </xdr:to>
    <xdr:sp macro="" textlink="">
      <xdr:nvSpPr>
        <xdr:cNvPr id="8" name="Ellipsi 7">
          <a:extLst>
            <a:ext uri="{FF2B5EF4-FFF2-40B4-BE49-F238E27FC236}">
              <a16:creationId xmlns:a16="http://schemas.microsoft.com/office/drawing/2014/main" id="{A90F9E5B-6777-455F-8BF7-58C1E4B13474}"/>
            </a:ext>
          </a:extLst>
        </xdr:cNvPr>
        <xdr:cNvSpPr/>
      </xdr:nvSpPr>
      <xdr:spPr>
        <a:xfrm>
          <a:off x="5668865" y="2620029"/>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6</a:t>
          </a:r>
        </a:p>
      </xdr:txBody>
    </xdr:sp>
    <xdr:clientData/>
  </xdr:twoCellAnchor>
  <xdr:twoCellAnchor>
    <xdr:from>
      <xdr:col>6</xdr:col>
      <xdr:colOff>393700</xdr:colOff>
      <xdr:row>8</xdr:row>
      <xdr:rowOff>5578</xdr:rowOff>
    </xdr:from>
    <xdr:to>
      <xdr:col>6</xdr:col>
      <xdr:colOff>590550</xdr:colOff>
      <xdr:row>9</xdr:row>
      <xdr:rowOff>21454</xdr:rowOff>
    </xdr:to>
    <xdr:sp macro="" textlink="">
      <xdr:nvSpPr>
        <xdr:cNvPr id="9" name="Ellipsi 8">
          <a:extLst>
            <a:ext uri="{FF2B5EF4-FFF2-40B4-BE49-F238E27FC236}">
              <a16:creationId xmlns:a16="http://schemas.microsoft.com/office/drawing/2014/main" id="{583CC311-07A7-4B9B-9108-F773C72E5BD5}"/>
            </a:ext>
          </a:extLst>
        </xdr:cNvPr>
        <xdr:cNvSpPr/>
      </xdr:nvSpPr>
      <xdr:spPr>
        <a:xfrm>
          <a:off x="3944516" y="2616854"/>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7</a:t>
          </a:r>
        </a:p>
      </xdr:txBody>
    </xdr:sp>
    <xdr:clientData/>
  </xdr:twoCellAnchor>
  <xdr:twoCellAnchor>
    <xdr:from>
      <xdr:col>10</xdr:col>
      <xdr:colOff>292100</xdr:colOff>
      <xdr:row>8</xdr:row>
      <xdr:rowOff>5578</xdr:rowOff>
    </xdr:from>
    <xdr:to>
      <xdr:col>10</xdr:col>
      <xdr:colOff>488950</xdr:colOff>
      <xdr:row>9</xdr:row>
      <xdr:rowOff>21454</xdr:rowOff>
    </xdr:to>
    <xdr:sp macro="" textlink="">
      <xdr:nvSpPr>
        <xdr:cNvPr id="10" name="Ellipsi 9">
          <a:extLst>
            <a:ext uri="{FF2B5EF4-FFF2-40B4-BE49-F238E27FC236}">
              <a16:creationId xmlns:a16="http://schemas.microsoft.com/office/drawing/2014/main" id="{85F0A967-D740-4970-B1E9-C549556DE32B}"/>
            </a:ext>
          </a:extLst>
        </xdr:cNvPr>
        <xdr:cNvSpPr/>
      </xdr:nvSpPr>
      <xdr:spPr>
        <a:xfrm>
          <a:off x="5922865" y="2616854"/>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8</a:t>
          </a:r>
        </a:p>
      </xdr:txBody>
    </xdr:sp>
    <xdr:clientData/>
  </xdr:twoCellAnchor>
  <xdr:twoCellAnchor>
    <xdr:from>
      <xdr:col>6</xdr:col>
      <xdr:colOff>142875</xdr:colOff>
      <xdr:row>8</xdr:row>
      <xdr:rowOff>11928</xdr:rowOff>
    </xdr:from>
    <xdr:to>
      <xdr:col>6</xdr:col>
      <xdr:colOff>339725</xdr:colOff>
      <xdr:row>9</xdr:row>
      <xdr:rowOff>27804</xdr:rowOff>
    </xdr:to>
    <xdr:sp macro="" textlink="">
      <xdr:nvSpPr>
        <xdr:cNvPr id="11" name="Ellipsi 10">
          <a:extLst>
            <a:ext uri="{FF2B5EF4-FFF2-40B4-BE49-F238E27FC236}">
              <a16:creationId xmlns:a16="http://schemas.microsoft.com/office/drawing/2014/main" id="{C8B98CB9-0402-4A59-8325-B4ACF807EEE7}"/>
            </a:ext>
          </a:extLst>
        </xdr:cNvPr>
        <xdr:cNvSpPr/>
      </xdr:nvSpPr>
      <xdr:spPr>
        <a:xfrm>
          <a:off x="3693691" y="2623204"/>
          <a:ext cx="196850" cy="197304"/>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800" b="1"/>
            <a:t>9</a:t>
          </a:r>
        </a:p>
      </xdr:txBody>
    </xdr:sp>
    <xdr:clientData/>
  </xdr:twoCellAnchor>
  <xdr:twoCellAnchor>
    <xdr:from>
      <xdr:col>7</xdr:col>
      <xdr:colOff>152400</xdr:colOff>
      <xdr:row>9</xdr:row>
      <xdr:rowOff>123825</xdr:rowOff>
    </xdr:from>
    <xdr:to>
      <xdr:col>7</xdr:col>
      <xdr:colOff>349250</xdr:colOff>
      <xdr:row>10</xdr:row>
      <xdr:rowOff>139700</xdr:rowOff>
    </xdr:to>
    <xdr:sp macro="" textlink="">
      <xdr:nvSpPr>
        <xdr:cNvPr id="13" name="Ellipsi 12">
          <a:extLst>
            <a:ext uri="{FF2B5EF4-FFF2-40B4-BE49-F238E27FC236}">
              <a16:creationId xmlns:a16="http://schemas.microsoft.com/office/drawing/2014/main" id="{A5675EB0-63D2-47E8-AF31-BB1F6F370495}"/>
            </a:ext>
          </a:extLst>
        </xdr:cNvPr>
        <xdr:cNvSpPr/>
      </xdr:nvSpPr>
      <xdr:spPr>
        <a:xfrm>
          <a:off x="4152900" y="2492375"/>
          <a:ext cx="196850" cy="200025"/>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fi-FI" sz="800" b="1"/>
        </a:p>
      </xdr:txBody>
    </xdr:sp>
    <xdr:clientData/>
  </xdr:twoCellAnchor>
  <xdr:oneCellAnchor>
    <xdr:from>
      <xdr:col>7</xdr:col>
      <xdr:colOff>111125</xdr:colOff>
      <xdr:row>9</xdr:row>
      <xdr:rowOff>114307</xdr:rowOff>
    </xdr:from>
    <xdr:ext cx="288669" cy="217560"/>
    <xdr:sp macro="" textlink="">
      <xdr:nvSpPr>
        <xdr:cNvPr id="14" name="Tekstiruutu 13">
          <a:extLst>
            <a:ext uri="{FF2B5EF4-FFF2-40B4-BE49-F238E27FC236}">
              <a16:creationId xmlns:a16="http://schemas.microsoft.com/office/drawing/2014/main" id="{096640A9-95A4-451A-9FCF-0BC239967CDE}"/>
            </a:ext>
          </a:extLst>
        </xdr:cNvPr>
        <xdr:cNvSpPr txBox="1"/>
      </xdr:nvSpPr>
      <xdr:spPr>
        <a:xfrm>
          <a:off x="4271023" y="2907011"/>
          <a:ext cx="288669"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800">
              <a:solidFill>
                <a:schemeClr val="bg1"/>
              </a:solidFill>
            </a:rPr>
            <a:t>10</a:t>
          </a:r>
        </a:p>
      </xdr:txBody>
    </xdr:sp>
    <xdr:clientData/>
  </xdr:oneCellAnchor>
  <xdr:twoCellAnchor>
    <xdr:from>
      <xdr:col>6</xdr:col>
      <xdr:colOff>146050</xdr:colOff>
      <xdr:row>10</xdr:row>
      <xdr:rowOff>161925</xdr:rowOff>
    </xdr:from>
    <xdr:to>
      <xdr:col>6</xdr:col>
      <xdr:colOff>342900</xdr:colOff>
      <xdr:row>11</xdr:row>
      <xdr:rowOff>177800</xdr:rowOff>
    </xdr:to>
    <xdr:sp macro="" textlink="">
      <xdr:nvSpPr>
        <xdr:cNvPr id="16" name="Ellipsi 15">
          <a:extLst>
            <a:ext uri="{FF2B5EF4-FFF2-40B4-BE49-F238E27FC236}">
              <a16:creationId xmlns:a16="http://schemas.microsoft.com/office/drawing/2014/main" id="{3640BA9C-6FD9-4E87-AC7A-5ED4448E2CCF}"/>
            </a:ext>
          </a:extLst>
        </xdr:cNvPr>
        <xdr:cNvSpPr/>
      </xdr:nvSpPr>
      <xdr:spPr>
        <a:xfrm>
          <a:off x="3536950" y="2714625"/>
          <a:ext cx="196850" cy="200025"/>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fi-FI" sz="800" b="1"/>
        </a:p>
      </xdr:txBody>
    </xdr:sp>
    <xdr:clientData/>
  </xdr:twoCellAnchor>
  <xdr:oneCellAnchor>
    <xdr:from>
      <xdr:col>6</xdr:col>
      <xdr:colOff>104775</xdr:colOff>
      <xdr:row>10</xdr:row>
      <xdr:rowOff>155446</xdr:rowOff>
    </xdr:from>
    <xdr:ext cx="288669" cy="217560"/>
    <xdr:sp macro="" textlink="">
      <xdr:nvSpPr>
        <xdr:cNvPr id="18" name="Tekstiruutu 17">
          <a:extLst>
            <a:ext uri="{FF2B5EF4-FFF2-40B4-BE49-F238E27FC236}">
              <a16:creationId xmlns:a16="http://schemas.microsoft.com/office/drawing/2014/main" id="{03C71CAF-0235-40A1-A3E2-52735F1B117E}"/>
            </a:ext>
          </a:extLst>
        </xdr:cNvPr>
        <xdr:cNvSpPr txBox="1"/>
      </xdr:nvSpPr>
      <xdr:spPr>
        <a:xfrm>
          <a:off x="3655591" y="3129579"/>
          <a:ext cx="288669"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800">
              <a:solidFill>
                <a:schemeClr val="bg1"/>
              </a:solidFill>
            </a:rPr>
            <a:t>11</a:t>
          </a:r>
        </a:p>
      </xdr:txBody>
    </xdr:sp>
    <xdr:clientData/>
  </xdr:oneCellAnchor>
  <xdr:twoCellAnchor>
    <xdr:from>
      <xdr:col>6</xdr:col>
      <xdr:colOff>128305</xdr:colOff>
      <xdr:row>10</xdr:row>
      <xdr:rowOff>50017</xdr:rowOff>
    </xdr:from>
    <xdr:to>
      <xdr:col>6</xdr:col>
      <xdr:colOff>250086</xdr:colOff>
      <xdr:row>10</xdr:row>
      <xdr:rowOff>113083</xdr:rowOff>
    </xdr:to>
    <xdr:cxnSp macro="">
      <xdr:nvCxnSpPr>
        <xdr:cNvPr id="20" name="Suora yhdysviiva 19">
          <a:extLst>
            <a:ext uri="{FF2B5EF4-FFF2-40B4-BE49-F238E27FC236}">
              <a16:creationId xmlns:a16="http://schemas.microsoft.com/office/drawing/2014/main" id="{FEB592D7-E9D5-4786-A4F2-16681FF7CCFA}"/>
            </a:ext>
          </a:extLst>
        </xdr:cNvPr>
        <xdr:cNvCxnSpPr/>
      </xdr:nvCxnSpPr>
      <xdr:spPr>
        <a:xfrm flipV="1">
          <a:off x="3518596" y="2607414"/>
          <a:ext cx="121781" cy="630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250086</xdr:colOff>
      <xdr:row>10</xdr:row>
      <xdr:rowOff>54366</xdr:rowOff>
    </xdr:from>
    <xdr:to>
      <xdr:col>6</xdr:col>
      <xdr:colOff>369692</xdr:colOff>
      <xdr:row>10</xdr:row>
      <xdr:rowOff>115257</xdr:rowOff>
    </xdr:to>
    <xdr:cxnSp macro="">
      <xdr:nvCxnSpPr>
        <xdr:cNvPr id="21" name="Suora yhdysviiva 20">
          <a:extLst>
            <a:ext uri="{FF2B5EF4-FFF2-40B4-BE49-F238E27FC236}">
              <a16:creationId xmlns:a16="http://schemas.microsoft.com/office/drawing/2014/main" id="{ABD65057-36F0-44CF-B5EA-FF92ADA81D25}"/>
            </a:ext>
          </a:extLst>
        </xdr:cNvPr>
        <xdr:cNvCxnSpPr/>
      </xdr:nvCxnSpPr>
      <xdr:spPr>
        <a:xfrm>
          <a:off x="3640377" y="2611763"/>
          <a:ext cx="119606" cy="608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76288</xdr:colOff>
      <xdr:row>10</xdr:row>
      <xdr:rowOff>76114</xdr:rowOff>
    </xdr:from>
    <xdr:to>
      <xdr:col>9</xdr:col>
      <xdr:colOff>282706</xdr:colOff>
      <xdr:row>10</xdr:row>
      <xdr:rowOff>143704</xdr:rowOff>
    </xdr:to>
    <xdr:cxnSp macro="">
      <xdr:nvCxnSpPr>
        <xdr:cNvPr id="26" name="Suora yhdysviiva 25">
          <a:extLst>
            <a:ext uri="{FF2B5EF4-FFF2-40B4-BE49-F238E27FC236}">
              <a16:creationId xmlns:a16="http://schemas.microsoft.com/office/drawing/2014/main" id="{A773D4E3-C034-42DF-8499-65BFFD28898C}"/>
            </a:ext>
          </a:extLst>
        </xdr:cNvPr>
        <xdr:cNvCxnSpPr/>
      </xdr:nvCxnSpPr>
      <xdr:spPr>
        <a:xfrm flipV="1">
          <a:off x="5034507" y="2633511"/>
          <a:ext cx="206418" cy="675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276182</xdr:colOff>
      <xdr:row>10</xdr:row>
      <xdr:rowOff>78288</xdr:rowOff>
    </xdr:from>
    <xdr:to>
      <xdr:col>9</xdr:col>
      <xdr:colOff>504695</xdr:colOff>
      <xdr:row>10</xdr:row>
      <xdr:rowOff>137178</xdr:rowOff>
    </xdr:to>
    <xdr:cxnSp macro="">
      <xdr:nvCxnSpPr>
        <xdr:cNvPr id="27" name="Suora yhdysviiva 26">
          <a:extLst>
            <a:ext uri="{FF2B5EF4-FFF2-40B4-BE49-F238E27FC236}">
              <a16:creationId xmlns:a16="http://schemas.microsoft.com/office/drawing/2014/main" id="{980A2CFC-1704-4F37-9088-26B5CC45B55B}"/>
            </a:ext>
          </a:extLst>
        </xdr:cNvPr>
        <xdr:cNvCxnSpPr/>
      </xdr:nvCxnSpPr>
      <xdr:spPr>
        <a:xfrm>
          <a:off x="5234401" y="2635685"/>
          <a:ext cx="228513" cy="588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121197</xdr:colOff>
      <xdr:row>3</xdr:row>
      <xdr:rowOff>1049694</xdr:rowOff>
    </xdr:from>
    <xdr:to>
      <xdr:col>10</xdr:col>
      <xdr:colOff>454732</xdr:colOff>
      <xdr:row>4</xdr:row>
      <xdr:rowOff>82729</xdr:rowOff>
    </xdr:to>
    <xdr:pic>
      <xdr:nvPicPr>
        <xdr:cNvPr id="23" name="Kuva 22">
          <a:extLst>
            <a:ext uri="{FF2B5EF4-FFF2-40B4-BE49-F238E27FC236}">
              <a16:creationId xmlns:a16="http://schemas.microsoft.com/office/drawing/2014/main" id="{2513457D-2B9D-49BE-9132-1B1D37A37B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1962" y="1684694"/>
          <a:ext cx="333535" cy="2382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187916</xdr:colOff>
      <xdr:row>1</xdr:row>
      <xdr:rowOff>55137</xdr:rowOff>
    </xdr:from>
    <xdr:to>
      <xdr:col>6</xdr:col>
      <xdr:colOff>291636</xdr:colOff>
      <xdr:row>7</xdr:row>
      <xdr:rowOff>169027</xdr:rowOff>
    </xdr:to>
    <xdr:pic>
      <xdr:nvPicPr>
        <xdr:cNvPr id="2" name="Kuva 1">
          <a:extLst>
            <a:ext uri="{FF2B5EF4-FFF2-40B4-BE49-F238E27FC236}">
              <a16:creationId xmlns:a16="http://schemas.microsoft.com/office/drawing/2014/main" id="{2E0E29F0-D31D-46E7-9518-9D4313674492}"/>
            </a:ext>
          </a:extLst>
        </xdr:cNvPr>
        <xdr:cNvPicPr>
          <a:picLocks noChangeAspect="1"/>
        </xdr:cNvPicPr>
      </xdr:nvPicPr>
      <xdr:blipFill>
        <a:blip xmlns:r="http://schemas.openxmlformats.org/officeDocument/2006/relationships" r:embed="rId1"/>
        <a:stretch>
          <a:fillRect/>
        </a:stretch>
      </xdr:blipFill>
      <xdr:spPr>
        <a:xfrm>
          <a:off x="2867306" y="240991"/>
          <a:ext cx="2620489" cy="1229012"/>
        </a:xfrm>
        <a:prstGeom prst="rect">
          <a:avLst/>
        </a:prstGeom>
      </xdr:spPr>
    </xdr:pic>
    <xdr:clientData/>
  </xdr:twoCellAnchor>
  <xdr:twoCellAnchor>
    <xdr:from>
      <xdr:col>8</xdr:col>
      <xdr:colOff>463550</xdr:colOff>
      <xdr:row>2</xdr:row>
      <xdr:rowOff>120650</xdr:rowOff>
    </xdr:from>
    <xdr:to>
      <xdr:col>9</xdr:col>
      <xdr:colOff>152400</xdr:colOff>
      <xdr:row>3</xdr:row>
      <xdr:rowOff>127000</xdr:rowOff>
    </xdr:to>
    <xdr:sp macro="" textlink="">
      <xdr:nvSpPr>
        <xdr:cNvPr id="3" name="Nuoli: Alas 2">
          <a:extLst>
            <a:ext uri="{FF2B5EF4-FFF2-40B4-BE49-F238E27FC236}">
              <a16:creationId xmlns:a16="http://schemas.microsoft.com/office/drawing/2014/main" id="{FFBC10A4-19A2-433F-BCAD-C26E7BECBC3D}"/>
            </a:ext>
          </a:extLst>
        </xdr:cNvPr>
        <xdr:cNvSpPr/>
      </xdr:nvSpPr>
      <xdr:spPr>
        <a:xfrm>
          <a:off x="6248400" y="488950"/>
          <a:ext cx="29845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9</xdr:col>
      <xdr:colOff>450850</xdr:colOff>
      <xdr:row>2</xdr:row>
      <xdr:rowOff>133350</xdr:rowOff>
    </xdr:from>
    <xdr:to>
      <xdr:col>10</xdr:col>
      <xdr:colOff>139700</xdr:colOff>
      <xdr:row>3</xdr:row>
      <xdr:rowOff>139700</xdr:rowOff>
    </xdr:to>
    <xdr:sp macro="" textlink="">
      <xdr:nvSpPr>
        <xdr:cNvPr id="4" name="Nuoli: Alas 3">
          <a:extLst>
            <a:ext uri="{FF2B5EF4-FFF2-40B4-BE49-F238E27FC236}">
              <a16:creationId xmlns:a16="http://schemas.microsoft.com/office/drawing/2014/main" id="{CE11BD4B-627C-4E0E-B174-D4B2398494A9}"/>
            </a:ext>
          </a:extLst>
        </xdr:cNvPr>
        <xdr:cNvSpPr/>
      </xdr:nvSpPr>
      <xdr:spPr>
        <a:xfrm>
          <a:off x="6845300" y="501650"/>
          <a:ext cx="29845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482600</xdr:colOff>
      <xdr:row>6</xdr:row>
      <xdr:rowOff>114300</xdr:rowOff>
    </xdr:from>
    <xdr:to>
      <xdr:col>9</xdr:col>
      <xdr:colOff>171450</xdr:colOff>
      <xdr:row>7</xdr:row>
      <xdr:rowOff>120650</xdr:rowOff>
    </xdr:to>
    <xdr:sp macro="" textlink="">
      <xdr:nvSpPr>
        <xdr:cNvPr id="5" name="Nuoli: Alas 4">
          <a:extLst>
            <a:ext uri="{FF2B5EF4-FFF2-40B4-BE49-F238E27FC236}">
              <a16:creationId xmlns:a16="http://schemas.microsoft.com/office/drawing/2014/main" id="{376DD7BA-FBA3-4A71-9C80-10D59E53209C}"/>
            </a:ext>
          </a:extLst>
        </xdr:cNvPr>
        <xdr:cNvSpPr/>
      </xdr:nvSpPr>
      <xdr:spPr>
        <a:xfrm>
          <a:off x="6267450" y="1219200"/>
          <a:ext cx="29845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9</xdr:col>
      <xdr:colOff>476250</xdr:colOff>
      <xdr:row>6</xdr:row>
      <xdr:rowOff>133350</xdr:rowOff>
    </xdr:from>
    <xdr:to>
      <xdr:col>11</xdr:col>
      <xdr:colOff>19050</xdr:colOff>
      <xdr:row>7</xdr:row>
      <xdr:rowOff>139700</xdr:rowOff>
    </xdr:to>
    <xdr:sp macro="" textlink="">
      <xdr:nvSpPr>
        <xdr:cNvPr id="6" name="Nuoli: Alas 5">
          <a:extLst>
            <a:ext uri="{FF2B5EF4-FFF2-40B4-BE49-F238E27FC236}">
              <a16:creationId xmlns:a16="http://schemas.microsoft.com/office/drawing/2014/main" id="{85DCA65F-027F-4442-8A09-7A9274DE65FE}"/>
            </a:ext>
          </a:extLst>
        </xdr:cNvPr>
        <xdr:cNvSpPr/>
      </xdr:nvSpPr>
      <xdr:spPr>
        <a:xfrm>
          <a:off x="6870700" y="1238250"/>
          <a:ext cx="29845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oneCell">
    <xdr:from>
      <xdr:col>6</xdr:col>
      <xdr:colOff>271037</xdr:colOff>
      <xdr:row>21</xdr:row>
      <xdr:rowOff>46464</xdr:rowOff>
    </xdr:from>
    <xdr:to>
      <xdr:col>12</xdr:col>
      <xdr:colOff>486653</xdr:colOff>
      <xdr:row>27</xdr:row>
      <xdr:rowOff>61955</xdr:rowOff>
    </xdr:to>
    <xdr:pic>
      <xdr:nvPicPr>
        <xdr:cNvPr id="13" name="Kuva 12">
          <a:extLst>
            <a:ext uri="{FF2B5EF4-FFF2-40B4-BE49-F238E27FC236}">
              <a16:creationId xmlns:a16="http://schemas.microsoft.com/office/drawing/2014/main" id="{EAABD187-5B72-49CD-A1B4-A95A5E19AD73}"/>
            </a:ext>
          </a:extLst>
        </xdr:cNvPr>
        <xdr:cNvPicPr>
          <a:picLocks noChangeAspect="1"/>
        </xdr:cNvPicPr>
      </xdr:nvPicPr>
      <xdr:blipFill>
        <a:blip xmlns:r="http://schemas.openxmlformats.org/officeDocument/2006/relationships" r:embed="rId2"/>
        <a:stretch>
          <a:fillRect/>
        </a:stretch>
      </xdr:blipFill>
      <xdr:spPr>
        <a:xfrm>
          <a:off x="5467196" y="3949391"/>
          <a:ext cx="3558001" cy="1130613"/>
        </a:xfrm>
        <a:prstGeom prst="rect">
          <a:avLst/>
        </a:prstGeom>
      </xdr:spPr>
    </xdr:pic>
    <xdr:clientData/>
  </xdr:twoCellAnchor>
  <xdr:twoCellAnchor editAs="oneCell">
    <xdr:from>
      <xdr:col>9</xdr:col>
      <xdr:colOff>209085</xdr:colOff>
      <xdr:row>28</xdr:row>
      <xdr:rowOff>100151</xdr:rowOff>
    </xdr:from>
    <xdr:to>
      <xdr:col>16</xdr:col>
      <xdr:colOff>408761</xdr:colOff>
      <xdr:row>38</xdr:row>
      <xdr:rowOff>97422</xdr:rowOff>
    </xdr:to>
    <xdr:pic>
      <xdr:nvPicPr>
        <xdr:cNvPr id="14" name="Kuva 13">
          <a:extLst>
            <a:ext uri="{FF2B5EF4-FFF2-40B4-BE49-F238E27FC236}">
              <a16:creationId xmlns:a16="http://schemas.microsoft.com/office/drawing/2014/main" id="{CB6D5D82-32B4-4A49-9CF4-EEB1862EE9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70183" y="5304053"/>
          <a:ext cx="3836329" cy="1855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838A-38E7-4B4A-B8DC-EF450CAD3AF0}">
  <dimension ref="A1:I36"/>
  <sheetViews>
    <sheetView tabSelected="1" workbookViewId="0">
      <pane ySplit="1" topLeftCell="A2" activePane="bottomLeft" state="frozen"/>
      <selection pane="bottomLeft" activeCell="E7" sqref="E7"/>
    </sheetView>
  </sheetViews>
  <sheetFormatPr defaultRowHeight="15" x14ac:dyDescent="0.25"/>
  <cols>
    <col min="1" max="1" width="2.140625" customWidth="1"/>
    <col min="2" max="2" width="11.5703125" customWidth="1"/>
    <col min="3" max="3" width="5.28515625" customWidth="1"/>
    <col min="4" max="4" width="7.7109375" customWidth="1"/>
    <col min="5" max="5" width="21.42578125" customWidth="1"/>
    <col min="6" max="6" width="7" customWidth="1"/>
    <col min="7" max="7" width="15" customWidth="1"/>
    <col min="8" max="8" width="3" customWidth="1"/>
    <col min="9" max="9" width="2.28515625" customWidth="1"/>
  </cols>
  <sheetData>
    <row r="1" spans="1:9" ht="26.25" x14ac:dyDescent="0.4">
      <c r="A1" s="106"/>
      <c r="B1" s="107" t="s">
        <v>0</v>
      </c>
      <c r="C1" s="108"/>
      <c r="D1" s="108"/>
      <c r="E1" s="108"/>
      <c r="F1" s="108"/>
      <c r="G1" s="108"/>
      <c r="H1" s="108"/>
      <c r="I1" s="109"/>
    </row>
    <row r="2" spans="1:9" ht="15.75" thickBot="1" x14ac:dyDescent="0.3">
      <c r="A2" s="3"/>
      <c r="B2" s="4" t="s">
        <v>100</v>
      </c>
      <c r="C2" s="4"/>
      <c r="D2" s="4"/>
      <c r="E2" s="4"/>
      <c r="F2" s="4"/>
      <c r="G2" s="4"/>
      <c r="H2" s="4"/>
      <c r="I2" s="5"/>
    </row>
    <row r="3" spans="1:9" ht="104.65" customHeight="1" thickBot="1" x14ac:dyDescent="0.3">
      <c r="A3" s="3"/>
      <c r="B3" s="111" t="s">
        <v>95</v>
      </c>
      <c r="C3" s="112"/>
      <c r="D3" s="112"/>
      <c r="E3" s="112"/>
      <c r="F3" s="112"/>
      <c r="G3" s="112"/>
      <c r="H3" s="113"/>
      <c r="I3" s="5"/>
    </row>
    <row r="4" spans="1:9" ht="10.15" customHeight="1" x14ac:dyDescent="0.25">
      <c r="A4" s="3"/>
      <c r="B4" s="4"/>
      <c r="C4" s="4"/>
      <c r="D4" s="4"/>
      <c r="E4" s="4"/>
      <c r="F4" s="4"/>
      <c r="G4" s="4"/>
      <c r="H4" s="4"/>
      <c r="I4" s="5"/>
    </row>
    <row r="5" spans="1:9" x14ac:dyDescent="0.25">
      <c r="A5" s="3"/>
      <c r="B5" s="4" t="s">
        <v>97</v>
      </c>
      <c r="C5" s="4"/>
      <c r="D5" s="4"/>
      <c r="E5" s="4"/>
      <c r="F5" s="4"/>
      <c r="G5" s="4"/>
      <c r="H5" s="4"/>
      <c r="I5" s="5"/>
    </row>
    <row r="6" spans="1:9" ht="21.6" customHeight="1" thickBot="1" x14ac:dyDescent="0.3">
      <c r="A6" s="3"/>
      <c r="B6" s="4"/>
      <c r="C6" s="4"/>
      <c r="D6" s="4"/>
      <c r="E6" s="83" t="s">
        <v>99</v>
      </c>
      <c r="F6" s="4"/>
      <c r="G6" s="4"/>
      <c r="H6" s="4"/>
      <c r="I6" s="5"/>
    </row>
    <row r="7" spans="1:9" ht="37.5" customHeight="1" thickBot="1" x14ac:dyDescent="0.3">
      <c r="A7" s="3"/>
      <c r="B7" s="114" t="s">
        <v>1</v>
      </c>
      <c r="C7" s="115"/>
      <c r="D7" s="4"/>
      <c r="E7" s="110">
        <v>0.6</v>
      </c>
      <c r="F7" s="4"/>
      <c r="G7" s="75" t="s">
        <v>2</v>
      </c>
      <c r="H7" s="4"/>
      <c r="I7" s="5"/>
    </row>
    <row r="8" spans="1:9" ht="6" customHeight="1" thickBot="1" x14ac:dyDescent="0.3">
      <c r="A8" s="6"/>
      <c r="B8" s="7"/>
      <c r="C8" s="7"/>
      <c r="D8" s="7"/>
      <c r="E8" s="33"/>
      <c r="F8" s="7"/>
      <c r="G8" s="7"/>
      <c r="H8" s="7"/>
      <c r="I8" s="8"/>
    </row>
    <row r="9" spans="1:9" ht="6" customHeight="1" x14ac:dyDescent="0.25">
      <c r="A9" s="22"/>
      <c r="B9" s="22"/>
      <c r="C9" s="22"/>
      <c r="D9" s="22"/>
      <c r="E9" s="22"/>
      <c r="F9" s="22"/>
      <c r="G9" s="22"/>
      <c r="H9" s="22"/>
      <c r="I9" s="22"/>
    </row>
    <row r="10" spans="1:9" x14ac:dyDescent="0.25">
      <c r="B10" s="80" t="s">
        <v>98</v>
      </c>
    </row>
    <row r="11" spans="1:9" x14ac:dyDescent="0.25">
      <c r="B11" s="73"/>
    </row>
    <row r="12" spans="1:9" x14ac:dyDescent="0.25">
      <c r="B12" s="73"/>
    </row>
    <row r="13" spans="1:9" x14ac:dyDescent="0.25">
      <c r="B13" s="73"/>
    </row>
    <row r="36" spans="2:2" x14ac:dyDescent="0.25">
      <c r="B36" s="73"/>
    </row>
  </sheetData>
  <sheetProtection algorithmName="SHA-512" hashValue="AVwwpBDRn9yqOpg0CiadTACsWN/vB8x30mAxoqd4PbvwePuAqn2iL3zNOsy9d2l7wsUWBO1vMGNfSLYLNuMzkg==" saltValue="HzZfFMxRs10wQRP+ua07dg==" spinCount="100000" sheet="1" objects="1" scenarios="1"/>
  <mergeCells count="2">
    <mergeCell ref="B3:H3"/>
    <mergeCell ref="B7:C7"/>
  </mergeCells>
  <hyperlinks>
    <hyperlink ref="B7" location="Tonttikatu!A1" display="TONTTIKATU" xr:uid="{5B5CDB7C-A91A-4CEA-9B03-BC5C4B5336E5}"/>
    <hyperlink ref="G7" location="Kokoojakatu!A1" display="KOKOOJAKATU" xr:uid="{6610D94B-7F49-44EA-B619-D5B0BAB57E35}"/>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8414-9CFD-4F13-A00E-060F2EB6AAC2}">
  <dimension ref="A1:N35"/>
  <sheetViews>
    <sheetView topLeftCell="A22" zoomScaleNormal="100" workbookViewId="0">
      <selection activeCell="F34" sqref="F34:G34"/>
    </sheetView>
  </sheetViews>
  <sheetFormatPr defaultRowHeight="15" x14ac:dyDescent="0.25"/>
  <cols>
    <col min="1" max="1" width="2.140625" customWidth="1"/>
    <col min="2" max="2" width="8.85546875" customWidth="1"/>
    <col min="5" max="5" width="14.5703125" customWidth="1"/>
    <col min="6" max="6" width="12.7109375" customWidth="1"/>
    <col min="7" max="7" width="8.7109375" customWidth="1"/>
    <col min="8" max="8" width="7.7109375" customWidth="1"/>
    <col min="9" max="9" width="2" customWidth="1"/>
    <col min="12" max="12" width="3.28515625" customWidth="1"/>
    <col min="13" max="13" width="2.140625" customWidth="1"/>
  </cols>
  <sheetData>
    <row r="1" spans="1:14" ht="11.65" customHeight="1" x14ac:dyDescent="0.25">
      <c r="A1" s="9"/>
      <c r="B1" s="10"/>
      <c r="C1" s="10"/>
      <c r="D1" s="10"/>
      <c r="E1" s="10"/>
      <c r="F1" s="10"/>
      <c r="G1" s="10"/>
      <c r="H1" s="10"/>
      <c r="I1" s="10"/>
      <c r="J1" s="30"/>
      <c r="K1" s="30"/>
      <c r="L1" s="30"/>
      <c r="M1" s="31"/>
    </row>
    <row r="2" spans="1:14" ht="26.25" x14ac:dyDescent="0.4">
      <c r="A2" s="11"/>
      <c r="B2" s="12" t="s">
        <v>1</v>
      </c>
      <c r="C2" s="13"/>
      <c r="D2" s="13"/>
      <c r="E2" s="74" t="s">
        <v>32</v>
      </c>
      <c r="F2" s="79"/>
      <c r="G2" s="121" t="s">
        <v>101</v>
      </c>
      <c r="H2" s="122"/>
      <c r="I2" s="123"/>
      <c r="J2" s="123"/>
      <c r="K2" s="21"/>
      <c r="L2" s="21"/>
      <c r="M2" s="32"/>
    </row>
    <row r="3" spans="1:14" ht="5.65" customHeight="1" x14ac:dyDescent="0.25">
      <c r="A3" s="11"/>
      <c r="B3" s="13"/>
      <c r="C3" s="13"/>
      <c r="D3" s="13"/>
      <c r="E3" s="13"/>
      <c r="F3" s="13"/>
      <c r="G3" s="13"/>
      <c r="H3" s="13"/>
      <c r="I3" s="13"/>
      <c r="J3" s="21"/>
      <c r="K3" s="21"/>
      <c r="L3" s="21"/>
      <c r="M3" s="32"/>
    </row>
    <row r="4" spans="1:14" ht="74.650000000000006" customHeight="1" x14ac:dyDescent="0.25">
      <c r="A4" s="11"/>
      <c r="B4" s="124" t="s">
        <v>29</v>
      </c>
      <c r="C4" s="125"/>
      <c r="D4" s="125"/>
      <c r="E4" s="125"/>
      <c r="F4" s="125"/>
      <c r="G4" s="125"/>
      <c r="H4" s="125"/>
      <c r="I4" s="126"/>
      <c r="J4" s="126"/>
      <c r="K4" s="21"/>
      <c r="L4" s="21"/>
      <c r="M4" s="32"/>
    </row>
    <row r="5" spans="1:14" ht="15.75" thickBot="1" x14ac:dyDescent="0.3">
      <c r="A5" s="11"/>
      <c r="B5" s="13"/>
      <c r="C5" s="13"/>
      <c r="D5" s="13"/>
      <c r="E5" s="13"/>
      <c r="F5" s="13"/>
      <c r="G5" s="13"/>
      <c r="H5" s="13"/>
      <c r="I5" s="13"/>
      <c r="J5" s="21"/>
      <c r="K5" s="21"/>
      <c r="L5" s="21"/>
      <c r="M5" s="32"/>
    </row>
    <row r="6" spans="1:14" x14ac:dyDescent="0.25">
      <c r="A6" s="35"/>
      <c r="B6" s="36"/>
      <c r="C6" s="36"/>
      <c r="D6" s="36"/>
      <c r="E6" s="36"/>
      <c r="F6" s="36"/>
      <c r="G6" s="36"/>
      <c r="H6" s="36"/>
      <c r="I6" s="36"/>
      <c r="J6" s="81"/>
      <c r="K6" s="81"/>
      <c r="L6" s="81"/>
      <c r="M6" s="82"/>
    </row>
    <row r="7" spans="1:14" ht="25.5" customHeight="1" x14ac:dyDescent="0.25">
      <c r="A7" s="78"/>
      <c r="B7" s="43" t="s">
        <v>6</v>
      </c>
      <c r="C7" s="48"/>
      <c r="D7" s="48"/>
      <c r="E7" s="48"/>
      <c r="F7" s="48"/>
      <c r="G7" s="48"/>
      <c r="H7" s="48"/>
      <c r="I7" s="48"/>
      <c r="J7" s="40"/>
      <c r="K7" s="40"/>
      <c r="L7" s="40"/>
      <c r="M7" s="41"/>
    </row>
    <row r="8" spans="1:14" x14ac:dyDescent="0.25">
      <c r="A8" s="39"/>
      <c r="B8" s="117" t="s">
        <v>33</v>
      </c>
      <c r="C8" s="117"/>
      <c r="D8" s="117"/>
      <c r="E8" s="117"/>
      <c r="F8" s="49">
        <v>12</v>
      </c>
      <c r="G8" s="2"/>
      <c r="H8" s="22"/>
      <c r="I8" s="22"/>
      <c r="J8" s="40"/>
      <c r="K8" s="40"/>
      <c r="L8" s="40"/>
      <c r="M8" s="41"/>
      <c r="N8" s="73"/>
    </row>
    <row r="9" spans="1:14" x14ac:dyDescent="0.25">
      <c r="A9" s="39"/>
      <c r="B9" s="117" t="s">
        <v>34</v>
      </c>
      <c r="C9" s="117"/>
      <c r="D9" s="117"/>
      <c r="E9" s="117"/>
      <c r="F9" s="49">
        <v>3</v>
      </c>
      <c r="G9" s="2"/>
      <c r="H9" s="22"/>
      <c r="I9" s="22"/>
      <c r="J9" s="40"/>
      <c r="K9" s="40"/>
      <c r="L9" s="40"/>
      <c r="M9" s="41"/>
      <c r="N9" s="73"/>
    </row>
    <row r="10" spans="1:14" x14ac:dyDescent="0.25">
      <c r="A10" s="39"/>
      <c r="B10" s="117" t="s">
        <v>35</v>
      </c>
      <c r="C10" s="117"/>
      <c r="D10" s="117"/>
      <c r="E10" s="117"/>
      <c r="F10" s="49">
        <v>3</v>
      </c>
      <c r="G10" s="2"/>
      <c r="H10" s="22"/>
      <c r="I10" s="22"/>
      <c r="J10" s="40"/>
      <c r="K10" s="40"/>
      <c r="L10" s="40"/>
      <c r="M10" s="41"/>
    </row>
    <row r="11" spans="1:14" x14ac:dyDescent="0.25">
      <c r="A11" s="42"/>
      <c r="B11" s="117" t="s">
        <v>36</v>
      </c>
      <c r="C11" s="117"/>
      <c r="D11" s="117"/>
      <c r="E11" s="117"/>
      <c r="F11" s="49">
        <v>0</v>
      </c>
      <c r="G11" s="2"/>
      <c r="H11" s="40"/>
      <c r="I11" s="40"/>
      <c r="J11" s="40"/>
      <c r="K11" s="40"/>
      <c r="L11" s="40"/>
      <c r="M11" s="41"/>
    </row>
    <row r="12" spans="1:14" x14ac:dyDescent="0.25">
      <c r="A12" s="42"/>
      <c r="B12" s="117" t="s">
        <v>37</v>
      </c>
      <c r="C12" s="117"/>
      <c r="D12" s="117"/>
      <c r="E12" s="117"/>
      <c r="F12" s="49">
        <v>0</v>
      </c>
      <c r="G12" s="2"/>
      <c r="H12" s="40"/>
      <c r="I12" s="40"/>
      <c r="J12" s="40"/>
      <c r="K12" s="40"/>
      <c r="L12" s="40"/>
      <c r="M12" s="41"/>
    </row>
    <row r="13" spans="1:14" x14ac:dyDescent="0.25">
      <c r="A13" s="42"/>
      <c r="B13" s="117" t="s">
        <v>38</v>
      </c>
      <c r="C13" s="117"/>
      <c r="D13" s="117"/>
      <c r="E13" s="117"/>
      <c r="F13" s="49">
        <v>1</v>
      </c>
      <c r="G13" s="2"/>
      <c r="H13" s="40"/>
      <c r="I13" s="40"/>
      <c r="J13" s="40"/>
      <c r="K13" s="40"/>
      <c r="L13" s="40"/>
      <c r="M13" s="41"/>
    </row>
    <row r="14" spans="1:14" x14ac:dyDescent="0.25">
      <c r="A14" s="42"/>
      <c r="B14" s="40"/>
      <c r="C14" s="40"/>
      <c r="D14" s="40"/>
      <c r="E14" s="40"/>
      <c r="F14" s="40"/>
      <c r="G14" s="40"/>
      <c r="H14" s="40"/>
      <c r="I14" s="40"/>
      <c r="J14" s="40"/>
      <c r="K14" s="40"/>
      <c r="L14" s="40"/>
      <c r="M14" s="41"/>
    </row>
    <row r="15" spans="1:14" x14ac:dyDescent="0.25">
      <c r="A15" s="42"/>
      <c r="B15" s="118" t="s">
        <v>14</v>
      </c>
      <c r="C15" s="118"/>
      <c r="D15" s="118"/>
      <c r="E15" s="118"/>
      <c r="F15" s="89">
        <f>Laskenta!B7</f>
        <v>2.5714285714285712</v>
      </c>
      <c r="G15" s="128" t="str">
        <f>IF(F15&lt;=F9,"Riittävä lumitila","Lumitila liian pieni")</f>
        <v>Riittävä lumitila</v>
      </c>
      <c r="H15" s="128"/>
      <c r="I15" s="40"/>
      <c r="J15" s="40"/>
      <c r="K15" s="40"/>
      <c r="L15" s="40"/>
      <c r="M15" s="41"/>
    </row>
    <row r="16" spans="1:14" x14ac:dyDescent="0.25">
      <c r="A16" s="42"/>
      <c r="B16" s="118" t="s">
        <v>13</v>
      </c>
      <c r="C16" s="118"/>
      <c r="D16" s="118"/>
      <c r="E16" s="118"/>
      <c r="F16" s="89">
        <f>Laskenta!B8</f>
        <v>2.5714285714285712</v>
      </c>
      <c r="G16" s="128" t="str">
        <f>IF(F16&lt;=F10,"Riittävä lumitila","Lumitila liian pieni")</f>
        <v>Riittävä lumitila</v>
      </c>
      <c r="H16" s="128"/>
      <c r="I16" s="40"/>
      <c r="J16" s="40"/>
      <c r="K16" s="40"/>
      <c r="L16" s="40"/>
      <c r="M16" s="41"/>
    </row>
    <row r="17" spans="1:13" x14ac:dyDescent="0.25">
      <c r="A17" s="42"/>
      <c r="B17" s="40"/>
      <c r="C17" s="40"/>
      <c r="D17" s="40"/>
      <c r="E17" s="40"/>
      <c r="F17" s="40"/>
      <c r="G17" s="40"/>
      <c r="H17" s="40"/>
      <c r="I17" s="40"/>
      <c r="J17" s="40"/>
      <c r="K17" s="40"/>
      <c r="L17" s="40"/>
      <c r="M17" s="41"/>
    </row>
    <row r="18" spans="1:13" x14ac:dyDescent="0.25">
      <c r="A18" s="42"/>
      <c r="B18" s="43" t="s">
        <v>15</v>
      </c>
      <c r="C18" s="40"/>
      <c r="D18" s="40"/>
      <c r="E18" s="40"/>
      <c r="F18" s="40"/>
      <c r="G18" s="40"/>
      <c r="H18" s="40"/>
      <c r="I18" s="40"/>
      <c r="J18" s="40"/>
      <c r="K18" s="40"/>
      <c r="L18" s="40"/>
      <c r="M18" s="41"/>
    </row>
    <row r="19" spans="1:13" x14ac:dyDescent="0.25">
      <c r="A19" s="42"/>
      <c r="B19" s="117" t="s">
        <v>3</v>
      </c>
      <c r="C19" s="117"/>
      <c r="D19" s="117"/>
      <c r="E19" s="117"/>
      <c r="F19" s="18">
        <v>5</v>
      </c>
      <c r="G19" s="2"/>
      <c r="H19" s="40"/>
      <c r="I19" s="40"/>
      <c r="J19" s="40"/>
      <c r="K19" s="40"/>
      <c r="L19" s="40"/>
      <c r="M19" s="41"/>
    </row>
    <row r="20" spans="1:13" x14ac:dyDescent="0.25">
      <c r="A20" s="42"/>
      <c r="B20" s="117" t="s">
        <v>12</v>
      </c>
      <c r="C20" s="117"/>
      <c r="D20" s="117"/>
      <c r="E20" s="117"/>
      <c r="F20" s="18">
        <v>8</v>
      </c>
      <c r="G20" s="2"/>
      <c r="H20" s="40"/>
      <c r="I20" s="40"/>
      <c r="J20" s="40"/>
      <c r="K20" s="40"/>
      <c r="L20" s="40"/>
      <c r="M20" s="41"/>
    </row>
    <row r="21" spans="1:13" x14ac:dyDescent="0.25">
      <c r="A21" s="42"/>
      <c r="B21" s="117" t="s">
        <v>4</v>
      </c>
      <c r="C21" s="117"/>
      <c r="D21" s="117"/>
      <c r="E21" s="117"/>
      <c r="F21" s="18">
        <v>350</v>
      </c>
      <c r="G21" s="2"/>
      <c r="H21" s="40"/>
      <c r="I21" s="40"/>
      <c r="J21" s="40"/>
      <c r="K21" s="40"/>
      <c r="L21" s="40"/>
      <c r="M21" s="41"/>
    </row>
    <row r="22" spans="1:13" x14ac:dyDescent="0.25">
      <c r="A22" s="42"/>
      <c r="B22" s="40"/>
      <c r="C22" s="40"/>
      <c r="D22" s="40"/>
      <c r="E22" s="40"/>
      <c r="F22" s="40"/>
      <c r="G22" s="40"/>
      <c r="H22" s="40"/>
      <c r="I22" s="40"/>
      <c r="J22" s="40"/>
      <c r="K22" s="40"/>
      <c r="L22" s="40"/>
      <c r="M22" s="41"/>
    </row>
    <row r="23" spans="1:13" x14ac:dyDescent="0.25">
      <c r="A23" s="42"/>
      <c r="B23" s="116" t="s">
        <v>25</v>
      </c>
      <c r="C23" s="116"/>
      <c r="D23" s="116"/>
      <c r="E23" s="116"/>
      <c r="F23" s="70">
        <f>Laskenta!F11-Laskenta!C13-Laskenta!C14</f>
        <v>972</v>
      </c>
      <c r="G23" s="127" t="str">
        <f>IF(F23&gt;=F24,"Riittävä lumitila","Lumitilat eivät riitä")</f>
        <v>Riittävä lumitila</v>
      </c>
      <c r="H23" s="127"/>
      <c r="I23" s="40"/>
      <c r="J23" s="40"/>
      <c r="K23" s="40"/>
      <c r="L23" s="40"/>
      <c r="M23" s="41"/>
    </row>
    <row r="24" spans="1:13" x14ac:dyDescent="0.25">
      <c r="A24" s="42"/>
      <c r="B24" s="116" t="s">
        <v>26</v>
      </c>
      <c r="C24" s="116"/>
      <c r="D24" s="116"/>
      <c r="E24" s="116"/>
      <c r="F24" s="70">
        <f>Laskenta!C15+Laskenta!C16</f>
        <v>945</v>
      </c>
      <c r="G24" s="120"/>
      <c r="H24" s="120"/>
      <c r="I24" s="40"/>
      <c r="J24" s="40"/>
      <c r="K24" s="40"/>
      <c r="L24" s="40"/>
      <c r="M24" s="41"/>
    </row>
    <row r="25" spans="1:13" ht="15.75" thickBot="1" x14ac:dyDescent="0.3">
      <c r="A25" s="44"/>
      <c r="B25" s="90"/>
      <c r="C25" s="90"/>
      <c r="D25" s="90"/>
      <c r="E25" s="90"/>
      <c r="F25" s="91"/>
      <c r="G25" s="92"/>
      <c r="H25" s="92"/>
      <c r="I25" s="45"/>
      <c r="J25" s="45"/>
      <c r="K25" s="45"/>
      <c r="L25" s="45"/>
      <c r="M25" s="46"/>
    </row>
    <row r="26" spans="1:13" ht="15.75" thickBot="1" x14ac:dyDescent="0.3">
      <c r="A26" s="40"/>
      <c r="B26" s="88"/>
      <c r="C26" s="88"/>
      <c r="D26" s="88"/>
      <c r="E26" s="88"/>
      <c r="F26" s="87"/>
      <c r="G26" s="85"/>
      <c r="H26" s="85"/>
      <c r="I26" s="40"/>
      <c r="J26" s="40"/>
      <c r="K26" s="40"/>
      <c r="L26" s="40"/>
      <c r="M26" s="40"/>
    </row>
    <row r="27" spans="1:13" x14ac:dyDescent="0.25">
      <c r="A27" s="53"/>
      <c r="B27" s="94" t="s">
        <v>104</v>
      </c>
      <c r="C27" s="37"/>
      <c r="D27" s="37"/>
      <c r="E27" s="37"/>
      <c r="F27" s="37"/>
      <c r="G27" s="37"/>
      <c r="H27" s="37"/>
      <c r="I27" s="37"/>
      <c r="J27" s="37"/>
      <c r="K27" s="37"/>
      <c r="L27" s="37"/>
      <c r="M27" s="38"/>
    </row>
    <row r="28" spans="1:13" x14ac:dyDescent="0.25">
      <c r="A28" s="42"/>
      <c r="B28" s="104" t="s">
        <v>121</v>
      </c>
      <c r="C28" s="40"/>
      <c r="D28" s="40"/>
      <c r="E28" s="40"/>
      <c r="F28" s="40"/>
      <c r="G28" s="40"/>
      <c r="H28" s="40"/>
      <c r="I28" s="40"/>
      <c r="J28" s="40"/>
      <c r="K28" s="40"/>
      <c r="L28" s="40"/>
      <c r="M28" s="41"/>
    </row>
    <row r="29" spans="1:13" ht="30" x14ac:dyDescent="0.25">
      <c r="A29" s="42"/>
      <c r="C29" s="40"/>
      <c r="D29" s="40"/>
      <c r="E29" s="40"/>
      <c r="F29" s="96" t="s">
        <v>102</v>
      </c>
      <c r="G29" s="85"/>
      <c r="H29" s="85"/>
      <c r="I29" s="40"/>
      <c r="J29" s="40"/>
      <c r="K29" s="40"/>
      <c r="L29" s="40"/>
      <c r="M29" s="41"/>
    </row>
    <row r="30" spans="1:13" x14ac:dyDescent="0.25">
      <c r="A30" s="42"/>
      <c r="B30" s="116" t="s">
        <v>103</v>
      </c>
      <c r="C30" s="129"/>
      <c r="D30" s="129"/>
      <c r="E30" s="129"/>
      <c r="F30" s="95">
        <f>F24-F23</f>
        <v>-27</v>
      </c>
      <c r="G30" s="86"/>
      <c r="H30" s="97" t="s">
        <v>105</v>
      </c>
      <c r="I30" s="40"/>
      <c r="J30" s="40"/>
      <c r="K30" s="40"/>
      <c r="L30" s="40"/>
      <c r="M30" s="41"/>
    </row>
    <row r="31" spans="1:13" x14ac:dyDescent="0.25">
      <c r="A31" s="42"/>
      <c r="B31" s="40"/>
      <c r="C31" s="40"/>
      <c r="D31" s="40"/>
      <c r="E31" s="40"/>
      <c r="F31" s="119" t="str">
        <f>IF(F30&lt;=0,"Ei tarvita","Tarvitaan")</f>
        <v>Ei tarvita</v>
      </c>
      <c r="G31" s="120"/>
      <c r="H31" s="98" t="s">
        <v>106</v>
      </c>
      <c r="I31" s="40"/>
      <c r="J31" s="40"/>
      <c r="K31" s="40"/>
      <c r="L31" s="40"/>
      <c r="M31" s="41"/>
    </row>
    <row r="32" spans="1:13" x14ac:dyDescent="0.25">
      <c r="A32" s="42"/>
      <c r="B32" s="93" t="s">
        <v>118</v>
      </c>
      <c r="C32" s="40"/>
      <c r="D32" s="40"/>
      <c r="E32" s="40"/>
      <c r="F32" s="40"/>
      <c r="G32" s="40"/>
      <c r="H32" s="40"/>
      <c r="I32" s="40"/>
      <c r="J32" s="40"/>
      <c r="K32" s="40"/>
      <c r="L32" s="40"/>
      <c r="M32" s="41"/>
    </row>
    <row r="33" spans="1:13" ht="25.5" x14ac:dyDescent="0.25">
      <c r="A33" s="42"/>
      <c r="B33" s="99" t="s">
        <v>107</v>
      </c>
      <c r="C33" s="99" t="s">
        <v>108</v>
      </c>
      <c r="D33" s="99" t="s">
        <v>109</v>
      </c>
      <c r="E33" s="99" t="s">
        <v>110</v>
      </c>
      <c r="F33" s="40"/>
      <c r="G33" s="40"/>
      <c r="H33" s="40"/>
      <c r="I33" s="40"/>
      <c r="J33" s="40"/>
      <c r="K33" s="40"/>
      <c r="L33" s="40"/>
      <c r="M33" s="41"/>
    </row>
    <row r="34" spans="1:13" x14ac:dyDescent="0.25">
      <c r="A34" s="42"/>
      <c r="B34" s="102"/>
      <c r="C34" s="102"/>
      <c r="D34" s="20">
        <f>Tonttikatu!B34*C34</f>
        <v>0</v>
      </c>
      <c r="E34" s="95">
        <f>Laskenta!J19</f>
        <v>0</v>
      </c>
      <c r="F34" s="119" t="str">
        <f>IF(E34&gt;=F30,"Riittävä alue","Ei riittävä alue")</f>
        <v>Riittävä alue</v>
      </c>
      <c r="G34" s="120"/>
      <c r="H34" s="40"/>
      <c r="I34" s="40"/>
      <c r="J34" s="40"/>
      <c r="K34" s="40"/>
      <c r="L34" s="40"/>
      <c r="M34" s="41"/>
    </row>
    <row r="35" spans="1:13" ht="15.75" thickBot="1" x14ac:dyDescent="0.3">
      <c r="A35" s="44"/>
      <c r="B35" s="45"/>
      <c r="C35" s="45"/>
      <c r="D35" s="45"/>
      <c r="E35" s="45"/>
      <c r="F35" s="45"/>
      <c r="G35" s="45"/>
      <c r="H35" s="45"/>
      <c r="I35" s="45"/>
      <c r="J35" s="45"/>
      <c r="K35" s="45"/>
      <c r="L35" s="45"/>
      <c r="M35" s="46"/>
    </row>
  </sheetData>
  <sheetProtection algorithmName="SHA-512" hashValue="sR+2NKdU7sHE9eZ7bNanjw3uC6Q8IADP5HvNDeAmr3hdWqqkjGsQIS19Hr06LO/c1SWSsh+D7dwMAEU6isL5NQ==" saltValue="iNzSgr1PRw/kzt+k3Tpwbw==" spinCount="100000" sheet="1" objects="1" scenarios="1"/>
  <protectedRanges>
    <protectedRange sqref="F8:F13" name="PL tiedot" securityDescriptor="O:WDG:WDD:(A;;CC;;;WD)"/>
    <protectedRange sqref="F19:F21" name="Koko katu" securityDescriptor="O:WDG:WDD:(A;;CC;;;WD)"/>
  </protectedRanges>
  <mergeCells count="22">
    <mergeCell ref="F34:G34"/>
    <mergeCell ref="F31:G31"/>
    <mergeCell ref="G2:J2"/>
    <mergeCell ref="B4:J4"/>
    <mergeCell ref="G23:H23"/>
    <mergeCell ref="G24:H24"/>
    <mergeCell ref="B8:E8"/>
    <mergeCell ref="B9:E9"/>
    <mergeCell ref="G15:H15"/>
    <mergeCell ref="G16:H16"/>
    <mergeCell ref="B30:E30"/>
    <mergeCell ref="B10:E10"/>
    <mergeCell ref="B11:E11"/>
    <mergeCell ref="B12:E12"/>
    <mergeCell ref="B13:E13"/>
    <mergeCell ref="B19:E19"/>
    <mergeCell ref="B24:E24"/>
    <mergeCell ref="B21:E21"/>
    <mergeCell ref="B20:E20"/>
    <mergeCell ref="B15:E15"/>
    <mergeCell ref="B16:E16"/>
    <mergeCell ref="B23:E23"/>
  </mergeCells>
  <conditionalFormatting sqref="F15">
    <cfRule type="cellIs" dxfId="30" priority="13" operator="lessThanOrEqual">
      <formula>$F$9</formula>
    </cfRule>
  </conditionalFormatting>
  <conditionalFormatting sqref="F16">
    <cfRule type="cellIs" dxfId="29" priority="12" operator="lessThanOrEqual">
      <formula>$F$10</formula>
    </cfRule>
  </conditionalFormatting>
  <conditionalFormatting sqref="G15:H15">
    <cfRule type="cellIs" dxfId="28" priority="11" operator="equal">
      <formula>"Riittävä lumitila"</formula>
    </cfRule>
  </conditionalFormatting>
  <conditionalFormatting sqref="G16:H16">
    <cfRule type="cellIs" dxfId="27" priority="10" operator="equal">
      <formula>"Riittävä lumitila"</formula>
    </cfRule>
  </conditionalFormatting>
  <conditionalFormatting sqref="G23:H23">
    <cfRule type="cellIs" dxfId="26" priority="9" operator="equal">
      <formula>"Riittävä lumitila"</formula>
    </cfRule>
  </conditionalFormatting>
  <conditionalFormatting sqref="F34:G34">
    <cfRule type="cellIs" dxfId="25" priority="6" operator="equal">
      <formula>"Riittävä alue"</formula>
    </cfRule>
    <cfRule type="cellIs" dxfId="24" priority="7" operator="equal">
      <formula>"Ei riittävä alue"</formula>
    </cfRule>
    <cfRule type="cellIs" dxfId="23" priority="8" operator="equal">
      <formula>"Riittävä lumitila"</formula>
    </cfRule>
  </conditionalFormatting>
  <conditionalFormatting sqref="F31:G31">
    <cfRule type="cellIs" dxfId="22" priority="1" operator="equal">
      <formula>"Tarvitaan"</formula>
    </cfRule>
    <cfRule type="cellIs" dxfId="21" priority="2" operator="equal">
      <formula>"Ei tarvita"</formula>
    </cfRule>
    <cfRule type="cellIs" dxfId="20" priority="3" operator="equal">
      <formula>"Riittävä alue"</formula>
    </cfRule>
    <cfRule type="cellIs" dxfId="19" priority="4" operator="equal">
      <formula>"Ei riittävä alue"</formula>
    </cfRule>
    <cfRule type="cellIs" dxfId="18" priority="5" operator="equal">
      <formula>"Riittävä lumitila"</formula>
    </cfRule>
  </conditionalFormatting>
  <hyperlinks>
    <hyperlink ref="E2" location="Aloitus!A1" display="ALKUUN" xr:uid="{AA9DF5F9-86FA-4B93-AD4B-DDB7B79277C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3955-F5D6-4395-9412-3DED9CDD1A43}">
  <dimension ref="A1:L45"/>
  <sheetViews>
    <sheetView zoomScale="110" zoomScaleNormal="110" workbookViewId="0">
      <selection activeCell="B38" sqref="B38"/>
    </sheetView>
  </sheetViews>
  <sheetFormatPr defaultRowHeight="15" x14ac:dyDescent="0.25"/>
  <cols>
    <col min="1" max="1" width="1.7109375" customWidth="1"/>
    <col min="5" max="5" width="14.7109375" customWidth="1"/>
    <col min="6" max="6" width="12.85546875" customWidth="1"/>
    <col min="8" max="8" width="9.7109375" customWidth="1"/>
    <col min="9" max="9" width="7.42578125" customWidth="1"/>
    <col min="10" max="10" width="10.42578125" customWidth="1"/>
  </cols>
  <sheetData>
    <row r="1" spans="1:12" ht="9.4" customHeight="1" x14ac:dyDescent="0.25">
      <c r="A1" s="9"/>
      <c r="B1" s="10"/>
      <c r="C1" s="10"/>
      <c r="D1" s="10"/>
      <c r="E1" s="10"/>
      <c r="F1" s="10"/>
      <c r="G1" s="10"/>
      <c r="H1" s="10"/>
      <c r="I1" s="10"/>
      <c r="J1" s="30"/>
      <c r="K1" s="31"/>
    </row>
    <row r="2" spans="1:12" ht="26.25" x14ac:dyDescent="0.4">
      <c r="A2" s="11"/>
      <c r="B2" s="12" t="s">
        <v>2</v>
      </c>
      <c r="C2" s="13"/>
      <c r="D2" s="13"/>
      <c r="E2" s="74" t="s">
        <v>32</v>
      </c>
      <c r="F2" s="29"/>
      <c r="G2" s="13"/>
      <c r="H2" s="121" t="s">
        <v>101</v>
      </c>
      <c r="I2" s="122"/>
      <c r="J2" s="123"/>
      <c r="K2" s="32"/>
    </row>
    <row r="3" spans="1:12" x14ac:dyDescent="0.25">
      <c r="A3" s="11"/>
      <c r="B3" s="13"/>
      <c r="C3" s="13"/>
      <c r="D3" s="13"/>
      <c r="E3" s="13"/>
      <c r="F3" s="13"/>
      <c r="G3" s="13"/>
      <c r="H3" s="13"/>
      <c r="I3" s="13"/>
      <c r="J3" s="21"/>
      <c r="K3" s="32"/>
    </row>
    <row r="4" spans="1:12" ht="95.45" customHeight="1" x14ac:dyDescent="0.25">
      <c r="A4" s="11"/>
      <c r="B4" s="141" t="s">
        <v>88</v>
      </c>
      <c r="C4" s="142"/>
      <c r="D4" s="142"/>
      <c r="E4" s="142"/>
      <c r="F4" s="142"/>
      <c r="G4" s="142"/>
      <c r="H4" s="142"/>
      <c r="I4" s="143"/>
      <c r="J4" s="143"/>
      <c r="K4" s="32"/>
    </row>
    <row r="5" spans="1:12" ht="15.75" thickBot="1" x14ac:dyDescent="0.3">
      <c r="A5" s="14"/>
      <c r="B5" s="15"/>
      <c r="C5" s="15"/>
      <c r="D5" s="15"/>
      <c r="E5" s="15"/>
      <c r="F5" s="15"/>
      <c r="G5" s="15"/>
      <c r="H5" s="15"/>
      <c r="I5" s="15"/>
      <c r="J5" s="33"/>
      <c r="K5" s="34"/>
    </row>
    <row r="6" spans="1:12" ht="7.5" customHeight="1" x14ac:dyDescent="0.25">
      <c r="A6" s="53"/>
      <c r="B6" s="37"/>
      <c r="C6" s="37"/>
      <c r="D6" s="37"/>
      <c r="E6" s="37"/>
      <c r="F6" s="37"/>
      <c r="G6" s="37"/>
      <c r="H6" s="37"/>
      <c r="I6" s="37"/>
      <c r="J6" s="37"/>
      <c r="K6" s="38"/>
    </row>
    <row r="7" spans="1:12" ht="24" customHeight="1" x14ac:dyDescent="0.25">
      <c r="A7" s="42"/>
      <c r="B7" s="43" t="s">
        <v>6</v>
      </c>
      <c r="C7" s="48"/>
      <c r="D7" s="48"/>
      <c r="E7" s="48"/>
      <c r="F7" s="48"/>
      <c r="G7" s="48"/>
      <c r="H7" s="40"/>
      <c r="I7" s="40"/>
      <c r="J7" s="40"/>
      <c r="K7" s="41"/>
      <c r="L7" s="73"/>
    </row>
    <row r="8" spans="1:12" x14ac:dyDescent="0.25">
      <c r="A8" s="42"/>
      <c r="B8" s="136" t="s">
        <v>33</v>
      </c>
      <c r="C8" s="136"/>
      <c r="D8" s="136"/>
      <c r="E8" s="136"/>
      <c r="F8" s="49">
        <v>7</v>
      </c>
      <c r="G8" s="2"/>
      <c r="H8" s="40"/>
      <c r="I8" s="40"/>
      <c r="J8" s="40"/>
      <c r="K8" s="41"/>
    </row>
    <row r="9" spans="1:12" x14ac:dyDescent="0.25">
      <c r="A9" s="42"/>
      <c r="B9" s="136" t="s">
        <v>34</v>
      </c>
      <c r="C9" s="136"/>
      <c r="D9" s="136"/>
      <c r="E9" s="136"/>
      <c r="F9" s="49">
        <v>4</v>
      </c>
      <c r="G9" s="2"/>
      <c r="H9" s="40"/>
      <c r="I9" s="40"/>
      <c r="J9" s="40"/>
      <c r="K9" s="41"/>
    </row>
    <row r="10" spans="1:12" x14ac:dyDescent="0.25">
      <c r="A10" s="42"/>
      <c r="B10" s="136" t="s">
        <v>35</v>
      </c>
      <c r="C10" s="136"/>
      <c r="D10" s="136"/>
      <c r="E10" s="136"/>
      <c r="F10" s="49">
        <v>3.5</v>
      </c>
      <c r="G10" s="2"/>
      <c r="H10" s="40"/>
      <c r="I10" s="40"/>
      <c r="J10" s="40"/>
      <c r="K10" s="41"/>
    </row>
    <row r="11" spans="1:12" x14ac:dyDescent="0.25">
      <c r="A11" s="42"/>
      <c r="B11" s="136" t="s">
        <v>36</v>
      </c>
      <c r="C11" s="136"/>
      <c r="D11" s="136"/>
      <c r="E11" s="136"/>
      <c r="F11" s="49">
        <v>0.5</v>
      </c>
      <c r="G11" s="2"/>
      <c r="H11" s="40"/>
      <c r="I11" s="40"/>
      <c r="J11" s="40"/>
      <c r="K11" s="41"/>
    </row>
    <row r="12" spans="1:12" x14ac:dyDescent="0.25">
      <c r="A12" s="42"/>
      <c r="B12" s="136" t="s">
        <v>37</v>
      </c>
      <c r="C12" s="136"/>
      <c r="D12" s="136"/>
      <c r="E12" s="136"/>
      <c r="F12" s="49">
        <v>0.5</v>
      </c>
      <c r="G12" s="2"/>
      <c r="H12" s="40"/>
      <c r="I12" s="40"/>
      <c r="J12" s="40"/>
      <c r="K12" s="41"/>
    </row>
    <row r="13" spans="1:12" x14ac:dyDescent="0.25">
      <c r="A13" s="42"/>
      <c r="B13" s="136" t="s">
        <v>57</v>
      </c>
      <c r="C13" s="136"/>
      <c r="D13" s="136"/>
      <c r="E13" s="136"/>
      <c r="F13" s="49">
        <v>3</v>
      </c>
      <c r="G13" s="2"/>
      <c r="H13" s="40"/>
      <c r="I13" s="40"/>
      <c r="J13" s="40"/>
      <c r="K13" s="41"/>
    </row>
    <row r="14" spans="1:12" x14ac:dyDescent="0.25">
      <c r="A14" s="42"/>
      <c r="B14" s="136" t="s">
        <v>58</v>
      </c>
      <c r="C14" s="136"/>
      <c r="D14" s="136"/>
      <c r="E14" s="136"/>
      <c r="F14" s="49">
        <v>3</v>
      </c>
      <c r="G14" s="2"/>
      <c r="H14" s="40"/>
      <c r="I14" s="40"/>
      <c r="J14" s="40"/>
      <c r="K14" s="41"/>
    </row>
    <row r="15" spans="1:12" x14ac:dyDescent="0.25">
      <c r="A15" s="42"/>
      <c r="B15" s="136" t="s">
        <v>59</v>
      </c>
      <c r="C15" s="136"/>
      <c r="D15" s="136"/>
      <c r="E15" s="136"/>
      <c r="F15" s="49">
        <v>2</v>
      </c>
      <c r="G15" s="2"/>
      <c r="H15" s="40"/>
      <c r="I15" s="40"/>
      <c r="J15" s="40"/>
      <c r="K15" s="41"/>
    </row>
    <row r="16" spans="1:12" x14ac:dyDescent="0.25">
      <c r="A16" s="42"/>
      <c r="B16" s="136" t="s">
        <v>60</v>
      </c>
      <c r="C16" s="136"/>
      <c r="D16" s="136"/>
      <c r="E16" s="136"/>
      <c r="F16" s="49">
        <v>2</v>
      </c>
      <c r="G16" s="2"/>
      <c r="H16" s="40"/>
      <c r="I16" s="40"/>
      <c r="J16" s="40"/>
      <c r="K16" s="41"/>
    </row>
    <row r="17" spans="1:11" x14ac:dyDescent="0.25">
      <c r="A17" s="42"/>
      <c r="B17" s="136" t="s">
        <v>61</v>
      </c>
      <c r="C17" s="136"/>
      <c r="D17" s="136"/>
      <c r="E17" s="136"/>
      <c r="F17" s="49">
        <v>0.8</v>
      </c>
      <c r="G17" s="2"/>
      <c r="H17" s="40"/>
      <c r="I17" s="40"/>
      <c r="J17" s="40"/>
      <c r="K17" s="41"/>
    </row>
    <row r="18" spans="1:11" x14ac:dyDescent="0.25">
      <c r="A18" s="42"/>
      <c r="B18" s="65" t="s">
        <v>62</v>
      </c>
      <c r="C18" s="65"/>
      <c r="D18" s="65"/>
      <c r="E18" s="65"/>
      <c r="F18" s="49">
        <v>0.8</v>
      </c>
      <c r="G18" s="2"/>
      <c r="H18" s="40"/>
      <c r="I18" s="40"/>
      <c r="J18" s="40"/>
      <c r="K18" s="41"/>
    </row>
    <row r="19" spans="1:11" ht="15.75" thickBot="1" x14ac:dyDescent="0.3">
      <c r="A19" s="42"/>
      <c r="B19" s="40"/>
      <c r="C19" s="40"/>
      <c r="D19" s="40"/>
      <c r="E19" s="40"/>
      <c r="F19" s="40"/>
      <c r="G19" s="40"/>
      <c r="H19" s="40"/>
      <c r="I19" s="40"/>
      <c r="J19" s="40"/>
      <c r="K19" s="41"/>
    </row>
    <row r="20" spans="1:11" ht="15.75" thickBot="1" x14ac:dyDescent="0.3">
      <c r="A20" s="42"/>
      <c r="B20" s="137" t="s">
        <v>53</v>
      </c>
      <c r="C20" s="138"/>
      <c r="D20" s="138"/>
      <c r="E20" s="138"/>
      <c r="F20" s="62">
        <f>Laskenta!E24</f>
        <v>1.05</v>
      </c>
      <c r="G20" s="139" t="str">
        <f>IF(F20&lt;=Laskenta!D24,"Riittävä lumitila","Lumitila liian pieni")</f>
        <v>Riittävä lumitila</v>
      </c>
      <c r="H20" s="140"/>
      <c r="I20" s="40"/>
      <c r="J20" s="40"/>
      <c r="K20" s="41"/>
    </row>
    <row r="21" spans="1:11" ht="15.75" thickBot="1" x14ac:dyDescent="0.3">
      <c r="A21" s="42"/>
      <c r="B21" s="144" t="s">
        <v>54</v>
      </c>
      <c r="C21" s="145"/>
      <c r="D21" s="145"/>
      <c r="E21" s="145"/>
      <c r="F21" s="63">
        <f>Laskenta!E25</f>
        <v>1.05</v>
      </c>
      <c r="G21" s="146" t="str">
        <f>IF(F21&lt;=Laskenta!D25,"Riittävä lumitila","Lumitila liian pieni")</f>
        <v>Riittävä lumitila</v>
      </c>
      <c r="H21" s="147"/>
      <c r="I21" s="40"/>
      <c r="J21" s="40"/>
      <c r="K21" s="41"/>
    </row>
    <row r="22" spans="1:11" ht="15.75" thickBot="1" x14ac:dyDescent="0.3">
      <c r="A22" s="42"/>
      <c r="B22" s="144" t="s">
        <v>56</v>
      </c>
      <c r="C22" s="145"/>
      <c r="D22" s="145"/>
      <c r="E22" s="145"/>
      <c r="F22" s="63">
        <f>Laskenta!E26</f>
        <v>1.7999999999999998</v>
      </c>
      <c r="G22" s="146" t="str">
        <f>IF(F22&lt;=Laskenta!D26,"Riittävä lumitila","Lumitila liian pieni")</f>
        <v>Riittävä lumitila</v>
      </c>
      <c r="H22" s="147"/>
      <c r="I22" s="40"/>
      <c r="J22" s="40"/>
      <c r="K22" s="41"/>
    </row>
    <row r="23" spans="1:11" ht="15.75" thickBot="1" x14ac:dyDescent="0.3">
      <c r="A23" s="42"/>
      <c r="B23" s="144" t="s">
        <v>55</v>
      </c>
      <c r="C23" s="145"/>
      <c r="D23" s="145"/>
      <c r="E23" s="145"/>
      <c r="F23" s="63">
        <f>Laskenta!E27</f>
        <v>1.7999999999999998</v>
      </c>
      <c r="G23" s="146" t="str">
        <f>IF(F23&lt;=Laskenta!D27,"Riittävä lumitila","Lumitila liian pieni")</f>
        <v>Riittävä lumitila</v>
      </c>
      <c r="H23" s="147"/>
      <c r="I23" s="40"/>
      <c r="J23" s="40"/>
      <c r="K23" s="41"/>
    </row>
    <row r="24" spans="1:11" x14ac:dyDescent="0.25">
      <c r="A24" s="42"/>
      <c r="B24" s="40"/>
      <c r="C24" s="40"/>
      <c r="D24" s="40"/>
      <c r="E24" s="40"/>
      <c r="F24" s="40"/>
      <c r="G24" s="40"/>
      <c r="H24" s="40"/>
      <c r="I24" s="40"/>
      <c r="J24" s="40"/>
      <c r="K24" s="41"/>
    </row>
    <row r="25" spans="1:11" ht="15.75" thickBot="1" x14ac:dyDescent="0.3">
      <c r="A25" s="42"/>
      <c r="B25" s="43" t="s">
        <v>63</v>
      </c>
      <c r="C25" s="40"/>
      <c r="D25" s="40"/>
      <c r="E25" s="40"/>
      <c r="F25" s="40"/>
      <c r="G25" s="40"/>
      <c r="H25" s="40"/>
      <c r="I25" s="40"/>
      <c r="J25" s="40"/>
      <c r="K25" s="41"/>
    </row>
    <row r="26" spans="1:11" ht="15.75" thickBot="1" x14ac:dyDescent="0.3">
      <c r="A26" s="42"/>
      <c r="B26" s="130" t="s">
        <v>64</v>
      </c>
      <c r="C26" s="131"/>
      <c r="D26" s="131"/>
      <c r="E26" s="131"/>
      <c r="F26" s="50">
        <v>1</v>
      </c>
      <c r="G26" s="2"/>
      <c r="H26" s="40"/>
      <c r="I26" s="40"/>
      <c r="J26" s="40"/>
      <c r="K26" s="41"/>
    </row>
    <row r="27" spans="1:11" ht="15.75" thickBot="1" x14ac:dyDescent="0.3">
      <c r="A27" s="42"/>
      <c r="B27" s="130" t="s">
        <v>79</v>
      </c>
      <c r="C27" s="131"/>
      <c r="D27" s="131"/>
      <c r="E27" s="131"/>
      <c r="F27" s="1">
        <v>7</v>
      </c>
      <c r="G27" s="2"/>
      <c r="H27" s="40"/>
      <c r="I27" s="40"/>
      <c r="J27" s="40"/>
      <c r="K27" s="41"/>
    </row>
    <row r="28" spans="1:11" ht="15.75" thickBot="1" x14ac:dyDescent="0.3">
      <c r="A28" s="42"/>
      <c r="B28" s="130" t="s">
        <v>65</v>
      </c>
      <c r="C28" s="131"/>
      <c r="D28" s="131"/>
      <c r="E28" s="131"/>
      <c r="F28" s="1">
        <v>0</v>
      </c>
      <c r="G28" s="2"/>
      <c r="H28" s="40"/>
      <c r="I28" s="40"/>
      <c r="J28" s="40"/>
      <c r="K28" s="41"/>
    </row>
    <row r="29" spans="1:11" ht="15.75" thickBot="1" x14ac:dyDescent="0.3">
      <c r="A29" s="42"/>
      <c r="B29" s="130" t="s">
        <v>80</v>
      </c>
      <c r="C29" s="131"/>
      <c r="D29" s="131"/>
      <c r="E29" s="131"/>
      <c r="F29" s="1">
        <v>2</v>
      </c>
      <c r="G29" s="2"/>
      <c r="H29" s="40"/>
      <c r="I29" s="40"/>
      <c r="J29" s="40"/>
      <c r="K29" s="41"/>
    </row>
    <row r="30" spans="1:11" ht="15.75" thickBot="1" x14ac:dyDescent="0.3">
      <c r="A30" s="42"/>
      <c r="B30" s="130" t="s">
        <v>93</v>
      </c>
      <c r="C30" s="131"/>
      <c r="D30" s="131"/>
      <c r="E30" s="131"/>
      <c r="F30" s="1">
        <v>0</v>
      </c>
      <c r="G30" s="72" t="s">
        <v>94</v>
      </c>
      <c r="H30" s="40"/>
      <c r="I30" s="40"/>
      <c r="J30" s="40"/>
      <c r="K30" s="41"/>
    </row>
    <row r="31" spans="1:11" ht="15.75" thickBot="1" x14ac:dyDescent="0.3">
      <c r="A31" s="42"/>
      <c r="B31" s="132" t="s">
        <v>71</v>
      </c>
      <c r="C31" s="133"/>
      <c r="D31" s="133"/>
      <c r="E31" s="133"/>
      <c r="F31" s="1">
        <v>100</v>
      </c>
      <c r="G31" s="2"/>
      <c r="H31" s="40"/>
      <c r="I31" s="40"/>
      <c r="J31" s="40"/>
      <c r="K31" s="41"/>
    </row>
    <row r="32" spans="1:11" ht="15.75" thickBot="1" x14ac:dyDescent="0.3">
      <c r="A32" s="42"/>
      <c r="B32" s="40"/>
      <c r="C32" s="40"/>
      <c r="D32" s="40"/>
      <c r="E32" s="40"/>
      <c r="F32" s="40"/>
      <c r="G32" s="40"/>
      <c r="H32" s="40"/>
      <c r="I32" s="40"/>
      <c r="J32" s="40"/>
      <c r="K32" s="41"/>
    </row>
    <row r="33" spans="1:11" x14ac:dyDescent="0.25">
      <c r="A33" s="42"/>
      <c r="B33" s="134" t="s">
        <v>25</v>
      </c>
      <c r="C33" s="135"/>
      <c r="D33" s="135"/>
      <c r="E33" s="135"/>
      <c r="F33" s="51">
        <f>Laskenta!C46</f>
        <v>390.9</v>
      </c>
      <c r="G33" s="148" t="str">
        <f>IF(F33&gt;=F34,"Riittävä lumitila","Lumitilat eivät riitä")</f>
        <v>Riittävä lumitila</v>
      </c>
      <c r="H33" s="149"/>
      <c r="I33" s="40"/>
      <c r="J33" s="40"/>
      <c r="K33" s="41"/>
    </row>
    <row r="34" spans="1:11" ht="15.75" thickBot="1" x14ac:dyDescent="0.3">
      <c r="A34" s="42"/>
      <c r="B34" s="150" t="s">
        <v>26</v>
      </c>
      <c r="C34" s="151"/>
      <c r="D34" s="151"/>
      <c r="E34" s="151"/>
      <c r="F34" s="52">
        <f>Laskenta!C47</f>
        <v>354.9</v>
      </c>
      <c r="G34" s="152"/>
      <c r="H34" s="153"/>
      <c r="I34" s="40"/>
      <c r="J34" s="40"/>
      <c r="K34" s="41"/>
    </row>
    <row r="35" spans="1:11" x14ac:dyDescent="0.25">
      <c r="A35" s="42"/>
      <c r="B35" s="88"/>
      <c r="C35" s="88"/>
      <c r="D35" s="88"/>
      <c r="E35" s="88"/>
      <c r="F35" s="87"/>
      <c r="G35" s="85"/>
      <c r="H35" s="85"/>
      <c r="I35" s="40"/>
      <c r="J35" s="40"/>
      <c r="K35" s="41"/>
    </row>
    <row r="36" spans="1:11" ht="15.75" thickBot="1" x14ac:dyDescent="0.3">
      <c r="A36" s="44"/>
      <c r="B36" s="90"/>
      <c r="C36" s="90"/>
      <c r="D36" s="90"/>
      <c r="E36" s="90"/>
      <c r="F36" s="91"/>
      <c r="G36" s="92"/>
      <c r="H36" s="92"/>
      <c r="I36" s="45"/>
      <c r="J36" s="45"/>
      <c r="K36" s="46"/>
    </row>
    <row r="37" spans="1:11" x14ac:dyDescent="0.25">
      <c r="A37" s="42"/>
      <c r="B37" s="94" t="s">
        <v>104</v>
      </c>
      <c r="C37" s="88"/>
      <c r="D37" s="88"/>
      <c r="E37" s="88"/>
      <c r="F37" s="87"/>
      <c r="G37" s="85"/>
      <c r="H37" s="85"/>
      <c r="I37" s="40"/>
      <c r="J37" s="40"/>
      <c r="K37" s="41"/>
    </row>
    <row r="38" spans="1:11" x14ac:dyDescent="0.25">
      <c r="A38" s="42"/>
      <c r="B38" s="104" t="s">
        <v>121</v>
      </c>
      <c r="C38" s="40"/>
      <c r="D38" s="40"/>
      <c r="E38" s="40"/>
      <c r="F38" s="40"/>
      <c r="G38" s="40"/>
      <c r="H38" s="40"/>
      <c r="I38" s="40"/>
      <c r="J38" s="40"/>
      <c r="K38" s="41"/>
    </row>
    <row r="39" spans="1:11" ht="31.9" customHeight="1" x14ac:dyDescent="0.25">
      <c r="A39" s="42"/>
      <c r="B39" s="40"/>
      <c r="C39" s="40"/>
      <c r="D39" s="40"/>
      <c r="E39" s="40"/>
      <c r="F39" s="96" t="s">
        <v>102</v>
      </c>
      <c r="G39" s="85"/>
      <c r="H39" s="85"/>
      <c r="I39" s="40"/>
      <c r="J39" s="40"/>
      <c r="K39" s="41"/>
    </row>
    <row r="40" spans="1:11" x14ac:dyDescent="0.25">
      <c r="A40" s="42"/>
      <c r="B40" s="116" t="s">
        <v>103</v>
      </c>
      <c r="C40" s="129"/>
      <c r="D40" s="129"/>
      <c r="E40" s="129"/>
      <c r="F40" s="95">
        <f>F34-F33</f>
        <v>-36</v>
      </c>
      <c r="G40" s="86"/>
      <c r="H40" s="97" t="s">
        <v>105</v>
      </c>
      <c r="I40" s="40"/>
      <c r="J40" s="40"/>
      <c r="K40" s="41"/>
    </row>
    <row r="41" spans="1:11" x14ac:dyDescent="0.25">
      <c r="A41" s="42"/>
      <c r="B41" s="88"/>
      <c r="C41" s="105"/>
      <c r="D41" s="105"/>
      <c r="E41" s="105"/>
      <c r="F41" s="119" t="str">
        <f>IF(F40&lt;=0,"Ei tarvita","Tarvitaan")</f>
        <v>Ei tarvita</v>
      </c>
      <c r="G41" s="120"/>
      <c r="H41" s="98" t="s">
        <v>106</v>
      </c>
      <c r="I41" s="40"/>
      <c r="J41" s="40"/>
      <c r="K41" s="41"/>
    </row>
    <row r="42" spans="1:11" x14ac:dyDescent="0.25">
      <c r="A42" s="42"/>
      <c r="B42" s="93" t="s">
        <v>118</v>
      </c>
      <c r="C42" s="40"/>
      <c r="D42" s="40"/>
      <c r="E42" s="40"/>
      <c r="F42" s="40"/>
      <c r="G42" s="40"/>
      <c r="H42" s="86"/>
      <c r="I42" s="40"/>
      <c r="J42" s="40"/>
      <c r="K42" s="41"/>
    </row>
    <row r="43" spans="1:11" ht="25.5" x14ac:dyDescent="0.25">
      <c r="A43" s="42"/>
      <c r="B43" s="99" t="s">
        <v>107</v>
      </c>
      <c r="C43" s="99" t="s">
        <v>108</v>
      </c>
      <c r="D43" s="99" t="s">
        <v>109</v>
      </c>
      <c r="E43" s="99" t="s">
        <v>110</v>
      </c>
      <c r="F43" s="40"/>
      <c r="G43" s="40"/>
      <c r="H43" s="86"/>
      <c r="I43" s="40"/>
      <c r="J43" s="40"/>
      <c r="K43" s="41"/>
    </row>
    <row r="44" spans="1:11" x14ac:dyDescent="0.25">
      <c r="A44" s="42"/>
      <c r="B44" s="102"/>
      <c r="C44" s="102"/>
      <c r="D44" s="20">
        <f>C44*B44</f>
        <v>0</v>
      </c>
      <c r="E44" s="95">
        <f>Laskenta!J50</f>
        <v>0</v>
      </c>
      <c r="F44" s="119" t="str">
        <f>IF(E44&gt;=F40,"Riittävä alue","Ei riittävä alue")</f>
        <v>Riittävä alue</v>
      </c>
      <c r="G44" s="120"/>
      <c r="H44" s="86"/>
      <c r="I44" s="40"/>
      <c r="J44" s="40"/>
      <c r="K44" s="41"/>
    </row>
    <row r="45" spans="1:11" ht="15.75" thickBot="1" x14ac:dyDescent="0.3">
      <c r="A45" s="44"/>
      <c r="B45" s="45"/>
      <c r="C45" s="45"/>
      <c r="D45" s="45"/>
      <c r="E45" s="45"/>
      <c r="F45" s="45"/>
      <c r="G45" s="45"/>
      <c r="H45" s="45"/>
      <c r="I45" s="45"/>
      <c r="J45" s="45"/>
      <c r="K45" s="46"/>
    </row>
  </sheetData>
  <sheetProtection algorithmName="SHA-512" hashValue="RWmbJbUJNiCmfCcYWgig5MotFET3/YdbRFXnvacm21Y1jfS6l6hlE3ITs/JTBdAIOrhdwnNhdw/vKFIiw9B35A==" saltValue="NqWNoZgxHyhJgzwiwdT89Q==" spinCount="100000" sheet="1" objects="1" scenarios="1"/>
  <protectedRanges>
    <protectedRange sqref="F26:F31" name="Katualue" securityDescriptor="O:WDG:WDD:(A;;CC;;;WD)"/>
    <protectedRange sqref="F8:F18" name="PL tiedot" securityDescriptor="O:WDG:WDD:(A;;CC;;;WD)"/>
  </protectedRanges>
  <mergeCells count="33">
    <mergeCell ref="F44:G44"/>
    <mergeCell ref="F41:G41"/>
    <mergeCell ref="B21:E21"/>
    <mergeCell ref="G21:H21"/>
    <mergeCell ref="B14:E14"/>
    <mergeCell ref="B15:E15"/>
    <mergeCell ref="B16:E16"/>
    <mergeCell ref="G33:H33"/>
    <mergeCell ref="B34:E34"/>
    <mergeCell ref="G34:H34"/>
    <mergeCell ref="G22:H22"/>
    <mergeCell ref="B23:E23"/>
    <mergeCell ref="G23:H23"/>
    <mergeCell ref="B30:E30"/>
    <mergeCell ref="B22:E22"/>
    <mergeCell ref="B26:E26"/>
    <mergeCell ref="H2:J2"/>
    <mergeCell ref="B17:E17"/>
    <mergeCell ref="B13:E13"/>
    <mergeCell ref="B20:E20"/>
    <mergeCell ref="G20:H20"/>
    <mergeCell ref="B4:J4"/>
    <mergeCell ref="B8:E8"/>
    <mergeCell ref="B9:E9"/>
    <mergeCell ref="B10:E10"/>
    <mergeCell ref="B11:E11"/>
    <mergeCell ref="B12:E12"/>
    <mergeCell ref="B27:E27"/>
    <mergeCell ref="B40:E40"/>
    <mergeCell ref="B28:E28"/>
    <mergeCell ref="B29:E29"/>
    <mergeCell ref="B31:E31"/>
    <mergeCell ref="B33:E33"/>
  </mergeCells>
  <phoneticPr fontId="16" type="noConversion"/>
  <conditionalFormatting sqref="G20:H20">
    <cfRule type="cellIs" dxfId="17" priority="14" operator="equal">
      <formula>"Riittävä lumitila"</formula>
    </cfRule>
  </conditionalFormatting>
  <conditionalFormatting sqref="G21:H21">
    <cfRule type="cellIs" dxfId="16" priority="13" operator="equal">
      <formula>"Riittävä lumitila"</formula>
    </cfRule>
  </conditionalFormatting>
  <conditionalFormatting sqref="G22:H22">
    <cfRule type="cellIs" dxfId="15" priority="12" operator="equal">
      <formula>"Riittävä lumitila"</formula>
    </cfRule>
  </conditionalFormatting>
  <conditionalFormatting sqref="G23:H23">
    <cfRule type="cellIs" dxfId="14" priority="11" operator="equal">
      <formula>"Riittävä lumitila"</formula>
    </cfRule>
  </conditionalFormatting>
  <conditionalFormatting sqref="G33:H33">
    <cfRule type="cellIs" dxfId="13" priority="10" operator="equal">
      <formula>"Riittävä lumitila"</formula>
    </cfRule>
  </conditionalFormatting>
  <conditionalFormatting sqref="F20:H23">
    <cfRule type="cellIs" dxfId="12" priority="9" operator="equal">
      <formula>0</formula>
    </cfRule>
  </conditionalFormatting>
  <conditionalFormatting sqref="F44:G44">
    <cfRule type="cellIs" dxfId="11" priority="6" operator="equal">
      <formula>"Riittävä alue"</formula>
    </cfRule>
    <cfRule type="cellIs" dxfId="10" priority="7" operator="equal">
      <formula>"Ei riittävä alue"</formula>
    </cfRule>
    <cfRule type="cellIs" dxfId="9" priority="8" operator="equal">
      <formula>"Riittävä lumitila"</formula>
    </cfRule>
  </conditionalFormatting>
  <conditionalFormatting sqref="F41:G41">
    <cfRule type="cellIs" dxfId="8" priority="1" operator="equal">
      <formula>"Tarvitaan"</formula>
    </cfRule>
    <cfRule type="cellIs" dxfId="7" priority="2" operator="equal">
      <formula>"Ei tarvita"</formula>
    </cfRule>
    <cfRule type="cellIs" dxfId="6" priority="3" operator="equal">
      <formula>"Riittävä alue"</formula>
    </cfRule>
    <cfRule type="cellIs" dxfId="5" priority="4" operator="equal">
      <formula>"Ei riittävä alue"</formula>
    </cfRule>
    <cfRule type="cellIs" dxfId="4" priority="5" operator="equal">
      <formula>"Riittävä lumitila"</formula>
    </cfRule>
  </conditionalFormatting>
  <hyperlinks>
    <hyperlink ref="E2" location="Aloitus!A1" display="ALKUUN" xr:uid="{690EF594-D496-45F0-BBFB-476092780A1E}"/>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8" operator="lessThanOrEqual" id="{88C96496-EFB6-45B7-8F2F-35CC08258152}">
            <xm:f>Laskenta!$D$24</xm:f>
            <x14:dxf>
              <fill>
                <patternFill>
                  <bgColor rgb="FF92D050"/>
                </patternFill>
              </fill>
            </x14:dxf>
          </x14:cfRule>
          <xm:sqref>F20</xm:sqref>
        </x14:conditionalFormatting>
        <x14:conditionalFormatting xmlns:xm="http://schemas.microsoft.com/office/excel/2006/main">
          <x14:cfRule type="cellIs" priority="17" operator="lessThanOrEqual" id="{55F4EB2A-EFAF-46EB-8F46-80E34D7C714C}">
            <xm:f>Laskenta!$D$25</xm:f>
            <x14:dxf>
              <fill>
                <patternFill>
                  <bgColor rgb="FF92D050"/>
                </patternFill>
              </fill>
            </x14:dxf>
          </x14:cfRule>
          <xm:sqref>F21</xm:sqref>
        </x14:conditionalFormatting>
        <x14:conditionalFormatting xmlns:xm="http://schemas.microsoft.com/office/excel/2006/main">
          <x14:cfRule type="cellIs" priority="16" operator="lessThanOrEqual" id="{4F21F6B6-483A-4F48-8B8D-9F21649E16BD}">
            <xm:f>Laskenta!$D$26</xm:f>
            <x14:dxf>
              <fill>
                <patternFill>
                  <bgColor rgb="FF92D050"/>
                </patternFill>
              </fill>
            </x14:dxf>
          </x14:cfRule>
          <xm:sqref>F22</xm:sqref>
        </x14:conditionalFormatting>
        <x14:conditionalFormatting xmlns:xm="http://schemas.microsoft.com/office/excel/2006/main">
          <x14:cfRule type="cellIs" priority="15" operator="lessThanOrEqual" id="{CF432F13-C857-4147-811F-74DBD53B2B49}">
            <xm:f>Laskenta!$D$27</xm:f>
            <x14:dxf>
              <fill>
                <patternFill>
                  <bgColor rgb="FF92D050"/>
                </patternFill>
              </fill>
            </x14:dxf>
          </x14:cfRule>
          <xm:sqref>F23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81FC-8B4A-487F-A026-03DEE3CE4EE4}">
  <dimension ref="A1:Q50"/>
  <sheetViews>
    <sheetView topLeftCell="A31" zoomScale="119" zoomScaleNormal="82" workbookViewId="0">
      <selection activeCell="K50" sqref="K50"/>
    </sheetView>
  </sheetViews>
  <sheetFormatPr defaultRowHeight="15" x14ac:dyDescent="0.25"/>
  <cols>
    <col min="1" max="1" width="19.85546875" customWidth="1"/>
    <col min="2" max="2" width="13" customWidth="1"/>
    <col min="3" max="3" width="12.5703125" bestFit="1" customWidth="1"/>
    <col min="4" max="4" width="12.42578125" bestFit="1" customWidth="1"/>
    <col min="5" max="5" width="12.7109375" bestFit="1" customWidth="1"/>
    <col min="6" max="6" width="10.85546875" customWidth="1"/>
    <col min="7" max="7" width="6.28515625" customWidth="1"/>
    <col min="10" max="10" width="8.42578125" customWidth="1"/>
    <col min="11" max="11" width="7" customWidth="1"/>
    <col min="14" max="14" width="1.7109375" bestFit="1" customWidth="1"/>
  </cols>
  <sheetData>
    <row r="1" spans="1:17" ht="21" x14ac:dyDescent="0.35">
      <c r="A1" s="76" t="s">
        <v>5</v>
      </c>
    </row>
    <row r="2" spans="1:17" x14ac:dyDescent="0.25">
      <c r="I2" s="54" t="s">
        <v>42</v>
      </c>
      <c r="J2" s="55"/>
      <c r="K2" s="55"/>
      <c r="L2" s="55"/>
      <c r="M2" s="55"/>
      <c r="N2" s="55"/>
      <c r="O2" s="55"/>
      <c r="P2" s="55"/>
      <c r="Q2" s="56"/>
    </row>
    <row r="3" spans="1:17" x14ac:dyDescent="0.25">
      <c r="A3" s="17" t="s">
        <v>9</v>
      </c>
      <c r="B3" s="18">
        <f>Aloitus!E7</f>
        <v>0.6</v>
      </c>
      <c r="I3" s="57"/>
      <c r="J3" s="58"/>
      <c r="K3" s="58"/>
      <c r="L3" s="58"/>
      <c r="M3" s="58"/>
      <c r="N3" s="58"/>
      <c r="O3" s="58"/>
      <c r="P3" s="58"/>
      <c r="Q3" s="59"/>
    </row>
    <row r="4" spans="1:17" x14ac:dyDescent="0.25">
      <c r="A4" s="17" t="s">
        <v>10</v>
      </c>
      <c r="B4" s="18">
        <f>1/4</f>
        <v>0.25</v>
      </c>
      <c r="C4" s="25">
        <f>B3*B4</f>
        <v>0.15</v>
      </c>
      <c r="I4" s="57"/>
      <c r="J4" s="58"/>
      <c r="K4" s="58"/>
      <c r="L4" s="58"/>
      <c r="M4" s="58"/>
      <c r="N4" s="58"/>
      <c r="O4" s="58"/>
      <c r="P4" s="58"/>
      <c r="Q4" s="59"/>
    </row>
    <row r="5" spans="1:17" x14ac:dyDescent="0.25">
      <c r="A5" s="22"/>
      <c r="B5" s="23"/>
      <c r="I5" s="167" t="s">
        <v>43</v>
      </c>
      <c r="J5" s="168"/>
      <c r="K5" s="171" t="s">
        <v>44</v>
      </c>
      <c r="L5" s="168" t="s">
        <v>45</v>
      </c>
      <c r="M5" s="168"/>
      <c r="N5" s="164" t="s">
        <v>46</v>
      </c>
      <c r="O5" s="164" t="s">
        <v>47</v>
      </c>
      <c r="P5" s="165"/>
      <c r="Q5" s="166"/>
    </row>
    <row r="6" spans="1:17" x14ac:dyDescent="0.25">
      <c r="A6" s="26" t="s">
        <v>16</v>
      </c>
      <c r="B6" s="24" t="s">
        <v>11</v>
      </c>
      <c r="C6" s="22"/>
      <c r="I6" s="169">
        <v>2</v>
      </c>
      <c r="J6" s="170"/>
      <c r="K6" s="172"/>
      <c r="L6" s="170">
        <v>2</v>
      </c>
      <c r="M6" s="170"/>
      <c r="N6" s="165"/>
      <c r="O6" s="165"/>
      <c r="P6" s="165"/>
      <c r="Q6" s="166"/>
    </row>
    <row r="7" spans="1:17" x14ac:dyDescent="0.25">
      <c r="A7" s="16" t="s">
        <v>7</v>
      </c>
      <c r="B7" s="20">
        <f>(2*C$4*Tonttikatu!F8/2)/(Tonttikatu!F11+Tonttikatu!F13-(2*Laskenta!C$4))</f>
        <v>2.5714285714285712</v>
      </c>
      <c r="I7" s="57"/>
      <c r="J7" s="58"/>
      <c r="K7" s="58"/>
      <c r="L7" s="58"/>
      <c r="M7" s="58"/>
      <c r="N7" s="58"/>
      <c r="O7" s="58"/>
      <c r="P7" s="58"/>
      <c r="Q7" s="59"/>
    </row>
    <row r="8" spans="1:17" x14ac:dyDescent="0.25">
      <c r="A8" s="16" t="s">
        <v>8</v>
      </c>
      <c r="B8" s="20">
        <f>(2*C$4*Tonttikatu!F8/2)/(Tonttikatu!F12+Tonttikatu!F13-(2*Laskenta!C$4))</f>
        <v>2.5714285714285712</v>
      </c>
      <c r="I8" s="57"/>
      <c r="J8" s="58"/>
      <c r="K8" s="58"/>
      <c r="L8" s="58"/>
      <c r="M8" s="58"/>
      <c r="N8" s="58"/>
      <c r="O8" s="58"/>
      <c r="P8" s="58"/>
      <c r="Q8" s="59"/>
    </row>
    <row r="9" spans="1:17" x14ac:dyDescent="0.25">
      <c r="I9" s="57"/>
      <c r="J9" s="58"/>
      <c r="K9" s="58"/>
      <c r="L9" s="58"/>
      <c r="M9" s="58"/>
      <c r="N9" s="58"/>
      <c r="O9" s="58"/>
      <c r="P9" s="58"/>
      <c r="Q9" s="59"/>
    </row>
    <row r="10" spans="1:17" x14ac:dyDescent="0.25">
      <c r="A10" s="19" t="s">
        <v>17</v>
      </c>
      <c r="C10" s="17" t="s">
        <v>19</v>
      </c>
      <c r="D10" s="17" t="s">
        <v>20</v>
      </c>
      <c r="E10" s="17" t="s">
        <v>21</v>
      </c>
      <c r="F10" s="17" t="s">
        <v>22</v>
      </c>
      <c r="I10" s="159" t="s">
        <v>40</v>
      </c>
      <c r="J10" s="161" t="s">
        <v>41</v>
      </c>
      <c r="K10" s="161"/>
      <c r="L10" s="162"/>
      <c r="M10" s="58"/>
      <c r="N10" s="58"/>
      <c r="O10" s="58"/>
      <c r="P10" s="58"/>
      <c r="Q10" s="59"/>
    </row>
    <row r="11" spans="1:17" x14ac:dyDescent="0.25">
      <c r="A11" s="154" t="s">
        <v>18</v>
      </c>
      <c r="B11" s="154"/>
      <c r="C11" s="20">
        <f>(Tonttikatu!F9*Tonttikatu!F13)/2+(Tonttikatu!F9*Tonttikatu!F11)/2</f>
        <v>1.5</v>
      </c>
      <c r="D11" s="20">
        <f>(Tonttikatu!F10*Tonttikatu!F13/2)+(Tonttikatu!F10*Tonttikatu!F12/2)</f>
        <v>1.5</v>
      </c>
      <c r="E11" s="20">
        <f>Tonttikatu!F21</f>
        <v>350</v>
      </c>
      <c r="F11" s="20">
        <f>(C11+D11)*E11</f>
        <v>1050</v>
      </c>
      <c r="I11" s="160"/>
      <c r="J11" s="161" t="s">
        <v>39</v>
      </c>
      <c r="K11" s="161"/>
      <c r="L11" s="162"/>
      <c r="M11" s="60"/>
      <c r="N11" s="60"/>
      <c r="O11" s="60"/>
      <c r="P11" s="60"/>
      <c r="Q11" s="61"/>
    </row>
    <row r="13" spans="1:17" x14ac:dyDescent="0.25">
      <c r="A13" s="154" t="s">
        <v>23</v>
      </c>
      <c r="B13" s="154"/>
      <c r="C13" s="20">
        <f>(Tonttikatu!F10+Tonttikatu!F9)/2*Tonttikatu!F13/2*Tonttikatu!F19*Tonttikatu!F20</f>
        <v>60</v>
      </c>
    </row>
    <row r="14" spans="1:17" x14ac:dyDescent="0.25">
      <c r="A14" s="154" t="s">
        <v>24</v>
      </c>
      <c r="B14" s="154"/>
      <c r="C14" s="20">
        <f>((Tonttikatu!F9+Tonttikatu!F10)/2)*Tonttikatu!F20*Tonttikatu!F19*Laskenta!C4</f>
        <v>18</v>
      </c>
    </row>
    <row r="15" spans="1:17" x14ac:dyDescent="0.25">
      <c r="A15" s="155" t="s">
        <v>27</v>
      </c>
      <c r="B15" s="156"/>
      <c r="C15" s="20">
        <f>E11*Tonttikatu!F8*Laskenta!C4</f>
        <v>630</v>
      </c>
    </row>
    <row r="16" spans="1:17" x14ac:dyDescent="0.25">
      <c r="A16" s="155" t="s">
        <v>28</v>
      </c>
      <c r="B16" s="156"/>
      <c r="C16" s="20">
        <f>(Tonttikatu!F9+Tonttikatu!F10)*Tonttikatu!F21*Laskenta!C4</f>
        <v>315</v>
      </c>
    </row>
    <row r="18" spans="1:12" x14ac:dyDescent="0.25">
      <c r="A18" s="21"/>
      <c r="B18" s="100" t="s">
        <v>31</v>
      </c>
      <c r="C18" s="100" t="s">
        <v>30</v>
      </c>
      <c r="D18" s="100" t="s">
        <v>111</v>
      </c>
      <c r="E18" s="100" t="s">
        <v>112</v>
      </c>
      <c r="F18" s="101" t="s">
        <v>113</v>
      </c>
      <c r="G18" s="101" t="s">
        <v>114</v>
      </c>
      <c r="H18" s="100" t="s">
        <v>115</v>
      </c>
      <c r="I18" s="101" t="s">
        <v>116</v>
      </c>
      <c r="J18" s="100" t="s">
        <v>117</v>
      </c>
      <c r="K18" s="100" t="s">
        <v>120</v>
      </c>
      <c r="L18" s="84"/>
    </row>
    <row r="19" spans="1:12" x14ac:dyDescent="0.25">
      <c r="A19" s="21" t="s">
        <v>119</v>
      </c>
      <c r="B19" s="84">
        <f>Tonttikatu!B34</f>
        <v>0</v>
      </c>
      <c r="C19" s="84">
        <f>Tonttikatu!C34</f>
        <v>0</v>
      </c>
      <c r="D19" s="103">
        <f>C19/2.6</f>
        <v>0</v>
      </c>
      <c r="E19" s="103">
        <f>IF(D19&gt;3.7,3.7,D19)</f>
        <v>0</v>
      </c>
      <c r="F19" s="103">
        <f>2.253*E19^3</f>
        <v>0</v>
      </c>
      <c r="G19" s="103">
        <f>1.3*E19^2*(B19-2.6*E19)</f>
        <v>0</v>
      </c>
      <c r="H19" s="103">
        <f>IF(C19&gt;9.62,((C19-9.62)*B19*E19),0)</f>
        <v>0</v>
      </c>
      <c r="I19" s="103">
        <f>(B19*C19)*B$3/5</f>
        <v>0</v>
      </c>
      <c r="J19" s="103">
        <f>(F19+G19-I19+H19)*K19</f>
        <v>0</v>
      </c>
      <c r="K19" s="84">
        <f>IF(Tonttikatu!F30&lt;=0,0,1)</f>
        <v>0</v>
      </c>
      <c r="L19" s="84"/>
    </row>
    <row r="21" spans="1:12" ht="23.25" x14ac:dyDescent="0.35">
      <c r="A21" s="77" t="s">
        <v>96</v>
      </c>
    </row>
    <row r="23" spans="1:12" x14ac:dyDescent="0.25">
      <c r="A23" s="163" t="s">
        <v>48</v>
      </c>
      <c r="B23" s="158"/>
      <c r="C23" s="24" t="s">
        <v>89</v>
      </c>
      <c r="D23" s="24" t="s">
        <v>90</v>
      </c>
      <c r="E23" s="24" t="s">
        <v>91</v>
      </c>
    </row>
    <row r="24" spans="1:12" x14ac:dyDescent="0.25">
      <c r="A24" s="157" t="s">
        <v>50</v>
      </c>
      <c r="B24" s="158"/>
      <c r="C24" s="20">
        <f>IF(Kokoojakatu!F9=0,(Kokoojakatu!F8/2+Kokoojakatu!F13),(Kokoojakatu!F8/2))</f>
        <v>3.5</v>
      </c>
      <c r="D24" s="20">
        <f>IF(Kokoojakatu!F9=0,Kokoojakatu!F15,Kokoojakatu!F9)</f>
        <v>4</v>
      </c>
      <c r="E24" s="20">
        <f>(2*$C$4*C24)/(Kokoojakatu!$F11+Kokoojakatu!$F$17-2*Laskenta!$C$4)</f>
        <v>1.05</v>
      </c>
    </row>
    <row r="25" spans="1:12" x14ac:dyDescent="0.25">
      <c r="A25" s="157" t="s">
        <v>49</v>
      </c>
      <c r="B25" s="158"/>
      <c r="C25" s="20">
        <f>IF(Kokoojakatu!F10=0,(Kokoojakatu!F8/2+Kokoojakatu!F14),(Kokoojakatu!F8/2))</f>
        <v>3.5</v>
      </c>
      <c r="D25" s="20">
        <f>IF(Kokoojakatu!F10=0,Kokoojakatu!F16,Kokoojakatu!F10)</f>
        <v>3.5</v>
      </c>
      <c r="E25" s="20">
        <f>(2*$C$4*C25)/(Kokoojakatu!$F12+Kokoojakatu!$F$17-2*Laskenta!$C$4)</f>
        <v>1.05</v>
      </c>
    </row>
    <row r="26" spans="1:12" x14ac:dyDescent="0.25">
      <c r="A26" s="157" t="s">
        <v>52</v>
      </c>
      <c r="B26" s="158"/>
      <c r="C26" s="20">
        <f>IF(Kokoojakatu!F9=0,0,Kokoojakatu!F13)</f>
        <v>3</v>
      </c>
      <c r="D26" s="20">
        <f>IF(C26=0,0,Kokoojakatu!F15)</f>
        <v>2</v>
      </c>
      <c r="E26" s="20">
        <f>(2*$C$4*C26)/(Kokoojakatu!$F$18-2*Laskenta!$C$4)</f>
        <v>1.7999999999999998</v>
      </c>
    </row>
    <row r="27" spans="1:12" x14ac:dyDescent="0.25">
      <c r="A27" s="157" t="s">
        <v>51</v>
      </c>
      <c r="B27" s="158"/>
      <c r="C27" s="20">
        <f>IF(Kokoojakatu!F10=0,0,Kokoojakatu!F14)</f>
        <v>3</v>
      </c>
      <c r="D27" s="20">
        <f>IF(C27=0,0,Kokoojakatu!F16)</f>
        <v>2</v>
      </c>
      <c r="E27" s="20">
        <f>(2*$C$4*C27)/(Kokoojakatu!$F$17-2*Laskenta!$C$4)</f>
        <v>1.7999999999999998</v>
      </c>
    </row>
    <row r="29" spans="1:12" x14ac:dyDescent="0.25">
      <c r="A29" s="19" t="s">
        <v>17</v>
      </c>
      <c r="C29" s="64" t="s">
        <v>66</v>
      </c>
      <c r="D29" s="64" t="s">
        <v>67</v>
      </c>
      <c r="E29" s="64" t="s">
        <v>68</v>
      </c>
      <c r="F29" s="64" t="s">
        <v>69</v>
      </c>
      <c r="G29" s="64" t="s">
        <v>21</v>
      </c>
      <c r="H29" s="64" t="s">
        <v>70</v>
      </c>
    </row>
    <row r="30" spans="1:12" x14ac:dyDescent="0.25">
      <c r="A30" s="154" t="s">
        <v>18</v>
      </c>
      <c r="B30" s="154"/>
      <c r="C30" s="20">
        <f>(Kokoojakatu!F9*Kokoojakatu!F17/2)+(Kokoojakatu!F9*Kokoojakatu!F11/2)</f>
        <v>2.6</v>
      </c>
      <c r="D30" s="20">
        <f>(Kokoojakatu!F10*Kokoojakatu!F17/2)+(Kokoojakatu!F10*Kokoojakatu!F12/2)</f>
        <v>2.2750000000000004</v>
      </c>
      <c r="E30" s="20">
        <f>(Kokoojakatu!F15*Kokoojakatu!F18/2)</f>
        <v>0.8</v>
      </c>
      <c r="F30" s="20">
        <f>(Kokoojakatu!F15*Kokoojakatu!F18/2)</f>
        <v>0.8</v>
      </c>
      <c r="G30" s="20">
        <f>Kokoojakatu!F31</f>
        <v>100</v>
      </c>
      <c r="H30" s="20">
        <f>(C30+D30+E30+F30)*G30</f>
        <v>647.5</v>
      </c>
    </row>
    <row r="31" spans="1:12" x14ac:dyDescent="0.25">
      <c r="A31" s="67"/>
      <c r="B31" s="67"/>
      <c r="C31" s="66"/>
      <c r="D31" s="66"/>
      <c r="E31" s="66"/>
      <c r="F31" s="66"/>
      <c r="G31" s="66"/>
      <c r="H31" s="66"/>
    </row>
    <row r="32" spans="1:12" x14ac:dyDescent="0.25">
      <c r="C32" s="69" t="s">
        <v>21</v>
      </c>
      <c r="D32" s="69" t="s">
        <v>76</v>
      </c>
      <c r="E32" s="69" t="s">
        <v>77</v>
      </c>
      <c r="F32" s="69" t="s">
        <v>78</v>
      </c>
    </row>
    <row r="33" spans="1:6" x14ac:dyDescent="0.25">
      <c r="A33" s="154" t="s">
        <v>72</v>
      </c>
      <c r="B33" s="154"/>
      <c r="C33" s="68">
        <f>Kokoojakatu!F27</f>
        <v>7</v>
      </c>
      <c r="D33" s="20">
        <f>(Kokoojakatu!$F9+Kokoojakatu!$F10)/2+(Kokoojakatu!$F15+Kokoojakatu!$F16)/2</f>
        <v>5.75</v>
      </c>
      <c r="E33" s="20">
        <f>((Kokoojakatu!$F9+Kokoojakatu!$F10)/2)*Kokoojakatu!F17/2+((Kokoojakatu!$F15+Kokoojakatu!$F16)/2)*Kokoojakatu!F18/2</f>
        <v>2.2999999999999998</v>
      </c>
      <c r="F33" s="47">
        <f>E33*C33*Kokoojakatu!F26</f>
        <v>16.099999999999998</v>
      </c>
    </row>
    <row r="34" spans="1:6" x14ac:dyDescent="0.25">
      <c r="A34" s="154" t="s">
        <v>73</v>
      </c>
      <c r="B34" s="154"/>
      <c r="C34" s="20">
        <v>6</v>
      </c>
      <c r="D34" s="16"/>
      <c r="E34" s="20">
        <f>C34*C4</f>
        <v>0.89999999999999991</v>
      </c>
      <c r="F34" s="47">
        <f>E34*Kokoojakatu!F27*Kokoojakatu!F26</f>
        <v>6.2999999999999989</v>
      </c>
    </row>
    <row r="35" spans="1:6" x14ac:dyDescent="0.25">
      <c r="A35" s="154" t="s">
        <v>81</v>
      </c>
      <c r="B35" s="154"/>
      <c r="C35" s="20">
        <v>10</v>
      </c>
      <c r="D35" s="20">
        <f>Kokoojakatu!$F29*2*(Kokoojakatu!$F9+Kokoojakatu!$F10)/2</f>
        <v>15</v>
      </c>
      <c r="E35" s="20">
        <f>((Kokoojakatu!F9*Kokoojakatu!F17)/2+(Kokoojakatu!F10*Kokoojakatu!F17)/2)-((Kokoojakatu!F9*0.5/2)+(Kokoojakatu!F10*0.5/2))</f>
        <v>1.125</v>
      </c>
      <c r="F35" s="47">
        <f>E35*C35*Kokoojakatu!F29*2</f>
        <v>45</v>
      </c>
    </row>
    <row r="36" spans="1:6" x14ac:dyDescent="0.25">
      <c r="A36" s="154" t="s">
        <v>74</v>
      </c>
      <c r="B36" s="154"/>
      <c r="C36" s="20">
        <v>18</v>
      </c>
      <c r="D36" s="16"/>
      <c r="E36" s="20">
        <f>((Kokoojakatu!F9+Kokoojakatu!F10)/2*Kokoojakatu!F17/2)</f>
        <v>1.5</v>
      </c>
      <c r="F36" s="47">
        <f>E36*24</f>
        <v>36</v>
      </c>
    </row>
    <row r="37" spans="1:6" x14ac:dyDescent="0.25">
      <c r="A37" s="154" t="s">
        <v>75</v>
      </c>
      <c r="B37" s="154"/>
      <c r="C37" s="20"/>
      <c r="D37" s="16"/>
      <c r="E37" s="20"/>
      <c r="F37" s="47">
        <f>18*4+(6*4)*C4</f>
        <v>75.599999999999994</v>
      </c>
    </row>
    <row r="38" spans="1:6" x14ac:dyDescent="0.25">
      <c r="A38" s="154" t="s">
        <v>82</v>
      </c>
      <c r="B38" s="154"/>
      <c r="C38" s="20"/>
      <c r="D38" s="16"/>
      <c r="E38" s="20"/>
      <c r="F38" s="47">
        <f>(18*3)+(16*3/2)+(13*3/2)*C4*Kokoojakatu!F28</f>
        <v>78</v>
      </c>
    </row>
    <row r="39" spans="1:6" x14ac:dyDescent="0.25">
      <c r="A39" s="154" t="s">
        <v>92</v>
      </c>
      <c r="B39" s="154"/>
      <c r="C39" s="20">
        <v>20</v>
      </c>
      <c r="D39" s="20">
        <f>(Kokoojakatu!$F9+Kokoojakatu!$F10+Kokoojakatu!$F15+Kokoojakatu!$F16)/4</f>
        <v>2.875</v>
      </c>
      <c r="E39" s="20">
        <f>(Kokoojakatu!$F9+Kokoojakatu!$F10+Kokoojakatu!$F15+Kokoojakatu!$F16)/4*((Kokoojakatu!$F17+Kokoojakatu!$F18)/2)/2</f>
        <v>1.1500000000000001</v>
      </c>
      <c r="F39" s="47">
        <f>E39*C39</f>
        <v>23.000000000000004</v>
      </c>
    </row>
    <row r="40" spans="1:6" x14ac:dyDescent="0.25">
      <c r="A40" s="155" t="s">
        <v>27</v>
      </c>
      <c r="B40" s="156"/>
      <c r="C40" s="20">
        <f>Kokoojakatu!F31</f>
        <v>100</v>
      </c>
      <c r="D40" s="16"/>
      <c r="E40" s="20">
        <f>C4*(Kokoojakatu!F8+Kokoojakatu!F13+Kokoojakatu!F14)</f>
        <v>1.95</v>
      </c>
      <c r="F40" s="20">
        <f>E40*C40</f>
        <v>195</v>
      </c>
    </row>
    <row r="41" spans="1:6" x14ac:dyDescent="0.25">
      <c r="A41" s="27" t="s">
        <v>28</v>
      </c>
      <c r="B41" s="28"/>
      <c r="C41" s="20">
        <f>Kokoojakatu!F31</f>
        <v>100</v>
      </c>
      <c r="D41" s="16"/>
      <c r="E41" s="20">
        <f>C4*(Kokoojakatu!F9+Kokoojakatu!F10+Kokoojakatu!F15+Kokoojakatu!F16)</f>
        <v>1.7249999999999999</v>
      </c>
      <c r="F41" s="20">
        <f>E41*C41</f>
        <v>172.5</v>
      </c>
    </row>
    <row r="43" spans="1:6" x14ac:dyDescent="0.25">
      <c r="A43" s="154" t="s">
        <v>83</v>
      </c>
      <c r="B43" s="154"/>
      <c r="C43" s="70">
        <f>H30</f>
        <v>647.5</v>
      </c>
    </row>
    <row r="44" spans="1:6" x14ac:dyDescent="0.25">
      <c r="A44" s="154" t="s">
        <v>84</v>
      </c>
      <c r="B44" s="154"/>
      <c r="C44" s="70">
        <f>F33+F35+F39</f>
        <v>84.1</v>
      </c>
    </row>
    <row r="45" spans="1:6" x14ac:dyDescent="0.25">
      <c r="A45" s="154" t="s">
        <v>85</v>
      </c>
      <c r="B45" s="154"/>
      <c r="C45" s="70">
        <f>F34+F37+F38</f>
        <v>159.89999999999998</v>
      </c>
    </row>
    <row r="46" spans="1:6" x14ac:dyDescent="0.25">
      <c r="A46" s="154" t="s">
        <v>86</v>
      </c>
      <c r="B46" s="154"/>
      <c r="C46" s="70">
        <f>C43-F41-C44</f>
        <v>390.9</v>
      </c>
    </row>
    <row r="47" spans="1:6" x14ac:dyDescent="0.25">
      <c r="A47" s="154" t="s">
        <v>87</v>
      </c>
      <c r="B47" s="154"/>
      <c r="C47" s="70">
        <f>F40+C45</f>
        <v>354.9</v>
      </c>
      <c r="D47" s="71"/>
    </row>
    <row r="49" spans="1:11" x14ac:dyDescent="0.25">
      <c r="A49" s="21"/>
      <c r="B49" s="100" t="s">
        <v>31</v>
      </c>
      <c r="C49" s="100" t="s">
        <v>30</v>
      </c>
      <c r="D49" s="100" t="s">
        <v>111</v>
      </c>
      <c r="E49" s="100" t="s">
        <v>112</v>
      </c>
      <c r="F49" s="101" t="s">
        <v>113</v>
      </c>
      <c r="G49" s="101" t="s">
        <v>114</v>
      </c>
      <c r="H49" s="100" t="s">
        <v>115</v>
      </c>
      <c r="I49" s="101" t="s">
        <v>116</v>
      </c>
      <c r="J49" s="100" t="s">
        <v>117</v>
      </c>
      <c r="K49" s="100" t="s">
        <v>120</v>
      </c>
    </row>
    <row r="50" spans="1:11" x14ac:dyDescent="0.25">
      <c r="A50" s="21" t="s">
        <v>119</v>
      </c>
      <c r="B50" s="84">
        <f>Kokoojakatu!B44</f>
        <v>0</v>
      </c>
      <c r="C50" s="84">
        <f>Kokoojakatu!C44</f>
        <v>0</v>
      </c>
      <c r="D50" s="103">
        <f>C50/2.6</f>
        <v>0</v>
      </c>
      <c r="E50" s="103">
        <f>IF(D50&gt;3.7,3.7,D50)</f>
        <v>0</v>
      </c>
      <c r="F50" s="103">
        <f>2.253*E50^3</f>
        <v>0</v>
      </c>
      <c r="G50" s="103">
        <f>1.3*E50^2*(B50-2.6*E50)</f>
        <v>0</v>
      </c>
      <c r="H50" s="103">
        <f>IF(C50&gt;9.62,((C50-9.62)*B50*E50),0)</f>
        <v>0</v>
      </c>
      <c r="I50" s="103">
        <f>(B50*C50)*B$3/5</f>
        <v>0</v>
      </c>
      <c r="J50" s="103">
        <f>F50+G50-I50+H50</f>
        <v>0</v>
      </c>
      <c r="K50" s="84">
        <f>IF(Kokoojakatu!F40&lt;=0,0,1)</f>
        <v>0</v>
      </c>
    </row>
  </sheetData>
  <sheetProtection algorithmName="SHA-512" hashValue="ZxT8KBCBC2wygvp503yVQ3d1Fut+ljihksY7BhpmgWCJO3/dzRhKOxQSPaG+RI/sYXO+C+Ryg+vHQyQIwfQQOw==" saltValue="+GKaz/904KoMCgOYyV6KlQ==" spinCount="100000" sheet="1" objects="1" scenarios="1"/>
  <mergeCells count="34">
    <mergeCell ref="N5:N6"/>
    <mergeCell ref="O5:Q6"/>
    <mergeCell ref="I5:J5"/>
    <mergeCell ref="I6:J6"/>
    <mergeCell ref="K5:K6"/>
    <mergeCell ref="L5:M5"/>
    <mergeCell ref="L6:M6"/>
    <mergeCell ref="I10:I11"/>
    <mergeCell ref="J10:L10"/>
    <mergeCell ref="J11:L11"/>
    <mergeCell ref="A23:B23"/>
    <mergeCell ref="A24:B24"/>
    <mergeCell ref="A11:B11"/>
    <mergeCell ref="A13:B13"/>
    <mergeCell ref="A14:B14"/>
    <mergeCell ref="A15:B15"/>
    <mergeCell ref="A16:B16"/>
    <mergeCell ref="A25:B25"/>
    <mergeCell ref="A26:B26"/>
    <mergeCell ref="A27:B27"/>
    <mergeCell ref="A30:B30"/>
    <mergeCell ref="A33:B33"/>
    <mergeCell ref="A34:B34"/>
    <mergeCell ref="A40:B40"/>
    <mergeCell ref="A36:B36"/>
    <mergeCell ref="A35:B35"/>
    <mergeCell ref="A37:B37"/>
    <mergeCell ref="A38:B38"/>
    <mergeCell ref="A39:B39"/>
    <mergeCell ref="A47:B47"/>
    <mergeCell ref="A43:B43"/>
    <mergeCell ref="A44:B44"/>
    <mergeCell ref="A45:B45"/>
    <mergeCell ref="A46:B4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51252F0D994AD4C826DAFF971A15CD1" ma:contentTypeVersion="11" ma:contentTypeDescription="Luo uusi asiakirja." ma:contentTypeScope="" ma:versionID="7a4d48cbd0277299e63c1584a22e3ee9">
  <xsd:schema xmlns:xsd="http://www.w3.org/2001/XMLSchema" xmlns:xs="http://www.w3.org/2001/XMLSchema" xmlns:p="http://schemas.microsoft.com/office/2006/metadata/properties" xmlns:ns2="510adbae-e7b9-42f7-9f96-d704e3db0073" targetNamespace="http://schemas.microsoft.com/office/2006/metadata/properties" ma:root="true" ma:fieldsID="7a4db83e7c6b9f29271878dfce3aabf5" ns2:_="">
    <xsd:import namespace="510adbae-e7b9-42f7-9f96-d704e3db00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0adbae-e7b9-42f7-9f96-d704e3db0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193A6-B37B-4CD6-8831-AF0DB3596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0adbae-e7b9-42f7-9f96-d704e3db0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97D126-3DBC-4DEC-9170-E6B7A0DFAEE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10adbae-e7b9-42f7-9f96-d704e3db0073"/>
    <ds:schemaRef ds:uri="http://www.w3.org/XML/1998/namespace"/>
    <ds:schemaRef ds:uri="http://purl.org/dc/dcmitype/"/>
  </ds:schemaRefs>
</ds:datastoreItem>
</file>

<file path=customXml/itemProps3.xml><?xml version="1.0" encoding="utf-8"?>
<ds:datastoreItem xmlns:ds="http://schemas.openxmlformats.org/officeDocument/2006/customXml" ds:itemID="{36440888-05D5-4F20-8B0C-EDC41862F7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Aloitus</vt:lpstr>
      <vt:lpstr>Tonttikatu</vt:lpstr>
      <vt:lpstr>Kokoojakatu</vt:lpstr>
      <vt:lpstr>Laskenta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Lumitilalaskuri</dc:title>
  <dc:creator>Timo Perälä</dc:creator>
  <cp:lastModifiedBy>Tackett Eveliina</cp:lastModifiedBy>
  <dcterms:created xsi:type="dcterms:W3CDTF">2020-07-02T11:00:30Z</dcterms:created>
  <dcterms:modified xsi:type="dcterms:W3CDTF">2023-11-30T11:20:22Z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0x010100351252F0D994AD4C826DAFF971A15CD1</vt:lpwstr>
  </property>
  <property fmtid="{D5CDD505-2E9C-101B-9397-08002B2CF9AE}" pid="3" name="MSIP_Label_e7f2b28d-54cf-44b6-aad9-6a2b7fb652a6_Enabled">
    <vt:lpwstr>true</vt:lpwstr>
  </property>
  <property fmtid="{D5CDD505-2E9C-101B-9397-08002B2CF9AE}" pid="4" name="MSIP_Label_e7f2b28d-54cf-44b6-aad9-6a2b7fb652a6_SetDate">
    <vt:lpwstr>2023-11-30T11:20:01Z</vt:lpwstr>
  </property>
  <property fmtid="{D5CDD505-2E9C-101B-9397-08002B2CF9AE}" pid="5" name="MSIP_Label_e7f2b28d-54cf-44b6-aad9-6a2b7fb652a6_Method">
    <vt:lpwstr>Standard</vt:lpwstr>
  </property>
  <property fmtid="{D5CDD505-2E9C-101B-9397-08002B2CF9AE}" pid="6" name="MSIP_Label_e7f2b28d-54cf-44b6-aad9-6a2b7fb652a6_Name">
    <vt:lpwstr>e7f2b28d-54cf-44b6-aad9-6a2b7fb652a6</vt:lpwstr>
  </property>
  <property fmtid="{D5CDD505-2E9C-101B-9397-08002B2CF9AE}" pid="7" name="MSIP_Label_e7f2b28d-54cf-44b6-aad9-6a2b7fb652a6_SiteId">
    <vt:lpwstr>5cc89a67-fa29-4356-af5d-f436abc7c21b</vt:lpwstr>
  </property>
  <property fmtid="{D5CDD505-2E9C-101B-9397-08002B2CF9AE}" pid="8" name="MSIP_Label_e7f2b28d-54cf-44b6-aad9-6a2b7fb652a6_ActionId">
    <vt:lpwstr>ad5ec19c-eba2-49c8-becd-2a6ae6d57005</vt:lpwstr>
  </property>
  <property fmtid="{D5CDD505-2E9C-101B-9397-08002B2CF9AE}" pid="9" name="MSIP_Label_e7f2b28d-54cf-44b6-aad9-6a2b7fb652a6_ContentBits">
    <vt:lpwstr>0</vt:lpwstr>
  </property>
</Properties>
</file>